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nangoulart\Desktop\Pregão 28 2022 Limpeza Sapiranga\"/>
    </mc:Choice>
  </mc:AlternateContent>
  <bookViews>
    <workbookView xWindow="0" yWindow="0" windowWidth="2370" windowHeight="0" tabRatio="500" activeTab="2"/>
  </bookViews>
  <sheets>
    <sheet name="SERVENTE - GRAU (40%)" sheetId="1" r:id="rId1"/>
    <sheet name="INSUMOS" sheetId="2" r:id="rId2"/>
    <sheet name="RESUMO" sheetId="4" r:id="rId3"/>
  </sheets>
  <calcPr calcId="162913"/>
</workbook>
</file>

<file path=xl/calcChain.xml><?xml version="1.0" encoding="utf-8"?>
<calcChain xmlns="http://schemas.openxmlformats.org/spreadsheetml/2006/main">
  <c r="E63" i="2" l="1"/>
  <c r="E64" i="2"/>
  <c r="G64" i="2" s="1"/>
  <c r="E65" i="2"/>
  <c r="G65" i="2" s="1"/>
  <c r="E66" i="2"/>
  <c r="E67" i="2"/>
  <c r="E68" i="2"/>
  <c r="G68" i="2" s="1"/>
  <c r="E69" i="2"/>
  <c r="G69" i="2" s="1"/>
  <c r="E70" i="2"/>
  <c r="E71" i="2"/>
  <c r="E62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34" i="2"/>
  <c r="G35" i="2"/>
  <c r="D28" i="2"/>
  <c r="D29" i="2"/>
  <c r="F29" i="2" s="1"/>
  <c r="D27" i="2"/>
  <c r="F27" i="2" s="1"/>
  <c r="D9" i="2"/>
  <c r="F9" i="2" s="1"/>
  <c r="D10" i="2"/>
  <c r="D11" i="2"/>
  <c r="F11" i="2" s="1"/>
  <c r="D12" i="2"/>
  <c r="F12" i="2" s="1"/>
  <c r="D13" i="2"/>
  <c r="F13" i="2"/>
  <c r="D14" i="2"/>
  <c r="D15" i="2"/>
  <c r="D16" i="2"/>
  <c r="F16" i="2"/>
  <c r="D17" i="2"/>
  <c r="F17" i="2" s="1"/>
  <c r="D18" i="2"/>
  <c r="D19" i="2"/>
  <c r="F19" i="2" s="1"/>
  <c r="D20" i="2"/>
  <c r="F20" i="2" s="1"/>
  <c r="D21" i="2"/>
  <c r="F21" i="2"/>
  <c r="D22" i="2"/>
  <c r="F22" i="2" s="1"/>
  <c r="D8" i="2"/>
  <c r="F8" i="2"/>
  <c r="F10" i="2"/>
  <c r="F14" i="2"/>
  <c r="F15" i="2"/>
  <c r="F18" i="2"/>
  <c r="F28" i="2"/>
  <c r="G34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62" i="2"/>
  <c r="G63" i="2"/>
  <c r="G66" i="2"/>
  <c r="G67" i="2"/>
  <c r="G70" i="2"/>
  <c r="G71" i="2"/>
  <c r="E76" i="2"/>
  <c r="E77" i="2"/>
  <c r="E78" i="2"/>
  <c r="E79" i="2"/>
  <c r="E80" i="2"/>
  <c r="E81" i="2"/>
  <c r="E82" i="2"/>
  <c r="E83" i="2"/>
  <c r="I18" i="1"/>
  <c r="J22" i="1"/>
  <c r="H215" i="1" s="1"/>
  <c r="J27" i="1"/>
  <c r="H220" i="1"/>
  <c r="J42" i="1"/>
  <c r="J69" i="1" s="1"/>
  <c r="J78" i="1" s="1"/>
  <c r="J84" i="1" s="1"/>
  <c r="J43" i="1"/>
  <c r="J44" i="1"/>
  <c r="J58" i="1" s="1"/>
  <c r="I59" i="1"/>
  <c r="I65" i="1" s="1"/>
  <c r="J62" i="1"/>
  <c r="J73" i="1"/>
  <c r="J76" i="1"/>
  <c r="I149" i="1"/>
  <c r="F167" i="1"/>
  <c r="I167" i="1"/>
  <c r="F171" i="1"/>
  <c r="I171" i="1"/>
  <c r="F175" i="1"/>
  <c r="I175" i="1"/>
  <c r="F179" i="1"/>
  <c r="I179" i="1"/>
  <c r="F183" i="1"/>
  <c r="I183" i="1"/>
  <c r="F187" i="1"/>
  <c r="F191" i="1"/>
  <c r="H197" i="1"/>
  <c r="H199" i="1"/>
  <c r="H201" i="1"/>
  <c r="H206" i="1"/>
  <c r="H207" i="1"/>
  <c r="H208" i="1"/>
  <c r="H209" i="1"/>
  <c r="H210" i="1"/>
  <c r="H211" i="1"/>
  <c r="H222" i="1" s="1"/>
  <c r="H213" i="1"/>
  <c r="H214" i="1"/>
  <c r="H217" i="1"/>
  <c r="H218" i="1"/>
  <c r="H219" i="1"/>
  <c r="I226" i="1"/>
  <c r="I15" i="4" s="1"/>
  <c r="J29" i="1"/>
  <c r="J64" i="1"/>
  <c r="J60" i="1"/>
  <c r="J57" i="1"/>
  <c r="J50" i="1"/>
  <c r="J156" i="1"/>
  <c r="J94" i="1"/>
  <c r="J105" i="1"/>
  <c r="J101" i="1"/>
  <c r="J89" i="1"/>
  <c r="J90" i="1" s="1"/>
  <c r="J63" i="1"/>
  <c r="J59" i="1"/>
  <c r="J49" i="1"/>
  <c r="J51" i="1"/>
  <c r="J91" i="1"/>
  <c r="J61" i="1"/>
  <c r="J98" i="1"/>
  <c r="J104" i="1" s="1"/>
  <c r="J103" i="1"/>
  <c r="J107" i="1" s="1"/>
  <c r="J102" i="1"/>
  <c r="J106" i="1"/>
  <c r="E84" i="2"/>
  <c r="E85" i="2" s="1"/>
  <c r="G58" i="2"/>
  <c r="B90" i="2" s="1"/>
  <c r="G59" i="2"/>
  <c r="F30" i="2"/>
  <c r="B95" i="2"/>
  <c r="D95" i="2" s="1"/>
  <c r="F95" i="2" s="1"/>
  <c r="J125" i="1" s="1"/>
  <c r="E31" i="2"/>
  <c r="J65" i="1" l="1"/>
  <c r="J83" i="1" s="1"/>
  <c r="J108" i="1"/>
  <c r="J109" i="1" s="1"/>
  <c r="J119" i="1" s="1"/>
  <c r="J121" i="1" s="1"/>
  <c r="J159" i="1" s="1"/>
  <c r="J114" i="1"/>
  <c r="J115" i="1" s="1"/>
  <c r="J120" i="1" s="1"/>
  <c r="J52" i="1"/>
  <c r="J53" i="1" s="1"/>
  <c r="J82" i="1" s="1"/>
  <c r="F23" i="2"/>
  <c r="D90" i="2"/>
  <c r="F90" i="2" s="1"/>
  <c r="C90" i="2"/>
  <c r="G72" i="2"/>
  <c r="F31" i="2"/>
  <c r="B89" i="2"/>
  <c r="J92" i="1"/>
  <c r="J93" i="1" s="1"/>
  <c r="G73" i="2" l="1"/>
  <c r="B93" i="2"/>
  <c r="D93" i="2" s="1"/>
  <c r="F93" i="2" s="1"/>
  <c r="J127" i="1" s="1"/>
  <c r="J95" i="1"/>
  <c r="J158" i="1" s="1"/>
  <c r="F24" i="2"/>
  <c r="B88" i="2"/>
  <c r="C89" i="2"/>
  <c r="D89" i="2"/>
  <c r="F89" i="2" s="1"/>
  <c r="J85" i="1"/>
  <c r="J157" i="1" l="1"/>
  <c r="C88" i="2"/>
  <c r="D88" i="2"/>
  <c r="F88" i="2" s="1"/>
  <c r="F91" i="2" s="1"/>
  <c r="B91" i="2"/>
  <c r="F97" i="2" l="1"/>
  <c r="J126" i="1"/>
  <c r="J129" i="1" s="1"/>
  <c r="B97" i="2"/>
  <c r="D97" i="2" s="1"/>
  <c r="C91" i="2"/>
  <c r="D91" i="2"/>
  <c r="J160" i="1" l="1"/>
  <c r="J161" i="1" s="1"/>
  <c r="J133" i="1"/>
  <c r="J134" i="1" s="1"/>
  <c r="J135" i="1" s="1"/>
  <c r="J136" i="1" s="1"/>
  <c r="J137" i="1" l="1"/>
  <c r="J146" i="1" l="1"/>
  <c r="J140" i="1"/>
  <c r="J141" i="1"/>
  <c r="J149" i="1" l="1"/>
  <c r="J147" i="1"/>
  <c r="J162" i="1" s="1"/>
  <c r="J163" i="1" s="1"/>
  <c r="G168" i="1" l="1"/>
  <c r="I168" i="1" s="1"/>
  <c r="I169" i="1" s="1"/>
  <c r="F206" i="1" s="1"/>
  <c r="I206" i="1" s="1"/>
  <c r="I197" i="1"/>
  <c r="J197" i="1" s="1"/>
  <c r="J198" i="1" s="1"/>
  <c r="F219" i="1" s="1"/>
  <c r="I219" i="1" s="1"/>
  <c r="I201" i="1"/>
  <c r="J201" i="1" s="1"/>
  <c r="J202" i="1" s="1"/>
  <c r="F217" i="1" s="1"/>
  <c r="I217" i="1" s="1"/>
  <c r="I220" i="1" s="1"/>
  <c r="G188" i="1"/>
  <c r="I188" i="1" s="1"/>
  <c r="I189" i="1" s="1"/>
  <c r="F213" i="1" s="1"/>
  <c r="I213" i="1" s="1"/>
  <c r="I215" i="1" s="1"/>
  <c r="G184" i="1"/>
  <c r="I184" i="1" s="1"/>
  <c r="I185" i="1" s="1"/>
  <c r="F210" i="1" s="1"/>
  <c r="I210" i="1" s="1"/>
  <c r="G180" i="1"/>
  <c r="I180" i="1" s="1"/>
  <c r="I181" i="1" s="1"/>
  <c r="F209" i="1" s="1"/>
  <c r="I209" i="1" s="1"/>
  <c r="G192" i="1"/>
  <c r="I192" i="1" s="1"/>
  <c r="I193" i="1" s="1"/>
  <c r="F214" i="1" s="1"/>
  <c r="I214" i="1" s="1"/>
  <c r="G176" i="1"/>
  <c r="I176" i="1" s="1"/>
  <c r="I177" i="1" s="1"/>
  <c r="F208" i="1" s="1"/>
  <c r="I208" i="1" s="1"/>
  <c r="I199" i="1"/>
  <c r="J199" i="1" s="1"/>
  <c r="J200" i="1" s="1"/>
  <c r="F218" i="1" s="1"/>
  <c r="I218" i="1" s="1"/>
  <c r="G172" i="1"/>
  <c r="I172" i="1" s="1"/>
  <c r="I173" i="1" s="1"/>
  <c r="F207" i="1" s="1"/>
  <c r="I207" i="1" s="1"/>
  <c r="I211" i="1" l="1"/>
  <c r="I222" i="1" s="1"/>
  <c r="I224" i="1" l="1"/>
  <c r="I228" i="1"/>
  <c r="I17" i="4" s="1"/>
  <c r="I20" i="4" s="1"/>
  <c r="I13" i="4" l="1"/>
  <c r="I19" i="4" s="1"/>
  <c r="G232" i="1"/>
</calcChain>
</file>

<file path=xl/sharedStrings.xml><?xml version="1.0" encoding="utf-8"?>
<sst xmlns="http://schemas.openxmlformats.org/spreadsheetml/2006/main" count="542" uniqueCount="336">
  <si>
    <t>LIMPEZA - Regime de Tributação: Lucro Real</t>
  </si>
  <si>
    <r>
      <rPr>
        <b/>
        <sz val="18"/>
        <rFont val="Arial"/>
        <family val="2"/>
      </rPr>
      <t xml:space="preserve">ANEXO ----  </t>
    </r>
    <r>
      <rPr>
        <b/>
        <sz val="18"/>
        <color indexed="10"/>
        <rFont val="Arial"/>
        <family val="2"/>
      </rPr>
      <t xml:space="preserve">do Pregão IFSul nº XX/2019 – </t>
    </r>
    <r>
      <rPr>
        <b/>
        <sz val="18"/>
        <color indexed="12"/>
        <rFont val="Arial"/>
        <family val="2"/>
      </rPr>
      <t xml:space="preserve">CONTA VINCULADA
</t>
    </r>
    <r>
      <rPr>
        <b/>
        <sz val="18"/>
        <color indexed="8"/>
        <rFont val="Arial"/>
        <family val="2"/>
      </rPr>
      <t xml:space="preserve">PLANILHA DE CUSTOS E FORMAÇÃO DE PREÇOS </t>
    </r>
    <r>
      <rPr>
        <b/>
        <sz val="18"/>
        <color indexed="20"/>
        <rFont val="Arial"/>
        <family val="2"/>
      </rPr>
      <t xml:space="preserve"> </t>
    </r>
    <r>
      <rPr>
        <b/>
        <sz val="18"/>
        <rFont val="Arial"/>
        <family val="2"/>
      </rPr>
      <t xml:space="preserve"> </t>
    </r>
  </si>
  <si>
    <t>Nº do processo:</t>
  </si>
  <si>
    <t>XXXX</t>
  </si>
  <si>
    <t>Licitação nº:</t>
  </si>
  <si>
    <t>Dia:</t>
  </si>
  <si>
    <t>DISCRIMINAÇÃO DOS SERVIÇOS (DADOS REFERENTES À CONTRATAÇÃO)</t>
  </si>
  <si>
    <t>A</t>
  </si>
  <si>
    <t>Data de apresentação da proposta (dia/mês/ano)</t>
  </si>
  <si>
    <t>B</t>
  </si>
  <si>
    <t>Município/UF</t>
  </si>
  <si>
    <t>Sapiranga/RS</t>
  </si>
  <si>
    <t>C</t>
  </si>
  <si>
    <t>Ano do Acordo, Convenção ou Dissídio Coletivo</t>
  </si>
  <si>
    <t>SINDIASSEIO VALE DOS SINOS – RS005068/2021</t>
  </si>
  <si>
    <t>D</t>
  </si>
  <si>
    <t>Número de meses de execução contratual</t>
  </si>
  <si>
    <t>IDENTIFICAÇÃO DO SERVIÇO</t>
  </si>
  <si>
    <t xml:space="preserve">Tipo de Serviço: Limpeza e Conservação Predial para o Câmpus Sapiranga IFSUL (Insalubridade 40%)                                                                                             </t>
  </si>
  <si>
    <t>Unidade
 de 
Medida</t>
  </si>
  <si>
    <t xml:space="preserve">Quantidade total a contratar (Em função da unidade de medida) </t>
  </si>
  <si>
    <t>a) Áreas internas - Pisos frios</t>
  </si>
  <si>
    <t>m2</t>
  </si>
  <si>
    <t>b) Áreas internas - Laboratórios</t>
  </si>
  <si>
    <t>c) Áreas internas - Almoxarifados/galpões</t>
  </si>
  <si>
    <t>d) Áreas internas - Áreas com espaços livres - saguão, hall e salão</t>
  </si>
  <si>
    <t>m-2</t>
  </si>
  <si>
    <t>m-1</t>
  </si>
  <si>
    <t>m0</t>
  </si>
  <si>
    <t>e) Banheiros</t>
  </si>
  <si>
    <t>TOTAL DA ÁREA INTERNA</t>
  </si>
  <si>
    <t>b) Áreas externas -  Varrição de passeios e arruamentos</t>
  </si>
  <si>
    <t>f) Áreas externas -  Coleta de detritos em pátios e áreas verdes com frequência diária</t>
  </si>
  <si>
    <t>TOTAL DA ÁREA EXTERNA</t>
  </si>
  <si>
    <t>a) Esquadrias externas - Face externa com exposição a situação de risco</t>
  </si>
  <si>
    <t>b) Esquadrias externas - Face externa sem exposição a situação de risco</t>
  </si>
  <si>
    <t>c) Esquadrias - Face interna</t>
  </si>
  <si>
    <t>TOTAL DA ÁREA DA ESQUADRIA EXTERNA - FACE INTERNA/EXTERNA</t>
  </si>
  <si>
    <t xml:space="preserve">TOTAL GERAL </t>
  </si>
  <si>
    <r>
      <rPr>
        <b/>
        <sz val="15"/>
        <rFont val="Arial"/>
        <family val="2"/>
      </rPr>
      <t xml:space="preserve">1. MÓDULOS 
</t>
    </r>
    <r>
      <rPr>
        <b/>
        <sz val="12"/>
        <rFont val="Arial"/>
        <family val="2"/>
      </rPr>
      <t xml:space="preserve">Mão de obra
</t>
    </r>
    <r>
      <rPr>
        <b/>
        <sz val="11"/>
        <rFont val="Arial"/>
        <family val="2"/>
      </rPr>
      <t>Mão de obra vinculada à execução contratual</t>
    </r>
  </si>
  <si>
    <t>Dados para composição dos custos referente à mão de obra</t>
  </si>
  <si>
    <t>Tipo de Serviço (mesmo serviço com características distintas)</t>
  </si>
  <si>
    <t xml:space="preserve"> Limpeza e conservação</t>
  </si>
  <si>
    <t>Classificação Brasileira de Ocupações (CBO)</t>
  </si>
  <si>
    <t>5143-20</t>
  </si>
  <si>
    <t>Salário Normativo da Categoria Profissional - para a jornada de 44 h/sem</t>
  </si>
  <si>
    <t>Categoria Profissional (vinculada à execução contratual)</t>
  </si>
  <si>
    <t xml:space="preserve">      Servente de limpeza</t>
  </si>
  <si>
    <t>Data-Base da Categoria (dia/mês/ano)</t>
  </si>
  <si>
    <t>Módulo 1: Composição da Remuneração</t>
  </si>
  <si>
    <t xml:space="preserve">Composição da Remuneração </t>
  </si>
  <si>
    <t>Percentual
(R$)</t>
  </si>
  <si>
    <t xml:space="preserve">Valor
(R$) </t>
  </si>
  <si>
    <r>
      <rPr>
        <b/>
        <sz val="10"/>
        <rFont val="Arial"/>
        <family val="2"/>
      </rPr>
      <t xml:space="preserve">Salário-Base   </t>
    </r>
    <r>
      <rPr>
        <b/>
        <sz val="10"/>
        <color indexed="10"/>
        <rFont val="Arial"/>
        <family val="2"/>
      </rPr>
      <t xml:space="preserve"> (valor para somente 1 servente de limpeza - 40h/semanais) </t>
    </r>
  </si>
  <si>
    <t>Adicional de Insalubridade (40% do SB - cláusula 55 da CCT/2019)</t>
  </si>
  <si>
    <t xml:space="preserve">Total </t>
  </si>
  <si>
    <t>Módulo 2 – Encargos e Benefícios Anuais, Mensais e Diários</t>
  </si>
  <si>
    <t>Submódulo 2.1 – 13º (décimo terceiro) Salário e Adicional de Férias</t>
  </si>
  <si>
    <t>2.1</t>
  </si>
  <si>
    <r>
      <rPr>
        <b/>
        <sz val="11"/>
        <rFont val="Arial"/>
        <family val="2"/>
      </rPr>
      <t>13º (décimo terceiro) Salário</t>
    </r>
    <r>
      <rPr>
        <b/>
        <sz val="11"/>
        <color indexed="10"/>
        <rFont val="Arial"/>
        <family val="2"/>
      </rPr>
      <t xml:space="preserve"> </t>
    </r>
    <r>
      <rPr>
        <b/>
        <sz val="11"/>
        <rFont val="Arial"/>
        <family val="2"/>
      </rPr>
      <t>e Adicional de Férias</t>
    </r>
  </si>
  <si>
    <t>Valor (R$)</t>
  </si>
  <si>
    <r>
      <rPr>
        <b/>
        <sz val="10"/>
        <rFont val="Arial"/>
        <family val="2"/>
      </rPr>
      <t>13º (décimo terceiro) Salário</t>
    </r>
    <r>
      <rPr>
        <b/>
        <sz val="11"/>
        <color indexed="8"/>
        <rFont val="Arial"/>
        <family val="2"/>
      </rPr>
      <t xml:space="preserve"> </t>
    </r>
    <r>
      <rPr>
        <b/>
        <sz val="8"/>
        <color indexed="10"/>
        <rFont val="Arial"/>
        <family val="2"/>
      </rPr>
      <t>Obrigatória a cotação de 8,33% sobre o valor do Módulo 1 – Composição da Remuneração, conforme Anexo XII da IN 5/17</t>
    </r>
  </si>
  <si>
    <r>
      <rPr>
        <b/>
        <sz val="10"/>
        <color indexed="8"/>
        <rFont val="Arial"/>
        <family val="2"/>
      </rPr>
      <t>Adicional de Férias</t>
    </r>
    <r>
      <rPr>
        <b/>
        <sz val="10"/>
        <color indexed="17"/>
        <rFont val="Arial"/>
        <family val="2"/>
      </rPr>
      <t xml:space="preserve"> </t>
    </r>
    <r>
      <rPr>
        <b/>
        <sz val="8"/>
        <color indexed="10"/>
        <rFont val="Arial"/>
        <family val="2"/>
      </rPr>
      <t>Obrigatória a cotação de 3,025% sobre o valor do Módulo 1 – Composição da Remuneração, conforme Anexo XII da IN 5/17 (Férias + Adicional = 9,075% + 3,025% = 12,10%)</t>
    </r>
  </si>
  <si>
    <t>Total</t>
  </si>
  <si>
    <t>Incidência dos encargos do Submódulo 2.2 sobre o total do Submódulo 2.1</t>
  </si>
  <si>
    <t>Submódulo 2.2 - Encargos Previdenciários (GPS), Fundo de Garantia por Tempo de Serviço (FGTS) e outras contribuições</t>
  </si>
  <si>
    <t>2.2</t>
  </si>
  <si>
    <t>GPS, FGTS e outras contribuições</t>
  </si>
  <si>
    <t>Percentual (%)</t>
  </si>
  <si>
    <t>Valor
 (R$)</t>
  </si>
  <si>
    <t>INSS</t>
  </si>
  <si>
    <t>Salário Educação</t>
  </si>
  <si>
    <t>RAT x FAP</t>
  </si>
  <si>
    <t>RAT =</t>
  </si>
  <si>
    <t xml:space="preserve"> FAP =</t>
  </si>
  <si>
    <t>SESC ou SESI</t>
  </si>
  <si>
    <t>E</t>
  </si>
  <si>
    <t>SENAC ou SENAI</t>
  </si>
  <si>
    <t>F</t>
  </si>
  <si>
    <t>SEBRAE</t>
  </si>
  <si>
    <t>G</t>
  </si>
  <si>
    <t>INCRA</t>
  </si>
  <si>
    <t>H</t>
  </si>
  <si>
    <t>FGTS</t>
  </si>
  <si>
    <t>Submódulo 2.3 – Benefícios Mensais e Diários</t>
  </si>
  <si>
    <t>2.3</t>
  </si>
  <si>
    <t>Benefícios Mensais e Diários</t>
  </si>
  <si>
    <r>
      <rPr>
        <b/>
        <sz val="10"/>
        <rFont val="Arial"/>
        <family val="2"/>
      </rPr>
      <t xml:space="preserve">Transporte                                              </t>
    </r>
    <r>
      <rPr>
        <b/>
        <sz val="10"/>
        <color indexed="10"/>
        <rFont val="Arial"/>
        <family val="2"/>
      </rPr>
      <t xml:space="preserve"> Cálculo do valor: [(2xVTx22) – (6%xSB)]</t>
    </r>
  </si>
  <si>
    <t xml:space="preserve">      A.1) Valor da passagem do transporte coletivo no município de prestação dos serviços: </t>
  </si>
  <si>
    <t>-</t>
  </si>
  <si>
    <t xml:space="preserve">      A.2) Quantidade de passagens por dia por empregado:</t>
  </si>
  <si>
    <t xml:space="preserve">      A.3) Quantidade de dias do mês de recebimento de passagens</t>
  </si>
  <si>
    <r>
      <rPr>
        <b/>
        <sz val="10"/>
        <rFont val="Arial"/>
        <family val="2"/>
      </rPr>
      <t xml:space="preserve">Auxílio-Refeição/Alimentação </t>
    </r>
    <r>
      <rPr>
        <b/>
        <sz val="10"/>
        <color indexed="10"/>
        <rFont val="Arial"/>
        <family val="2"/>
      </rPr>
      <t>Cálculo do valor = [(22xVA)x(1-</t>
    </r>
    <r>
      <rPr>
        <b/>
        <sz val="10"/>
        <color indexed="12"/>
        <rFont val="Arial"/>
        <family val="2"/>
      </rPr>
      <t>0,19</t>
    </r>
    <r>
      <rPr>
        <b/>
        <sz val="10"/>
        <color indexed="10"/>
        <rFont val="Arial"/>
        <family val="2"/>
      </rPr>
      <t>)]</t>
    </r>
  </si>
  <si>
    <t xml:space="preserve">      B.2) Quantidade de dias do mês de recebimento de auxílio-alimentação</t>
  </si>
  <si>
    <t>Seguro contra riscos de acidente de trabalho</t>
  </si>
  <si>
    <t>Quadro-Resumo do Módulo 2 – Encargos e Benefícios Anuais, Mensais e Diários</t>
  </si>
  <si>
    <t>Encargos e Benefícios Anuais, Mensais e Diários</t>
  </si>
  <si>
    <r>
      <rPr>
        <b/>
        <sz val="10"/>
        <rFont val="Arial"/>
        <family val="2"/>
        <charset val="1"/>
      </rPr>
      <t xml:space="preserve">13º (décimo terceiro) Salário </t>
    </r>
    <r>
      <rPr>
        <b/>
        <sz val="10"/>
        <rFont val="Arial"/>
        <family val="2"/>
      </rPr>
      <t>e Adicional de Férias</t>
    </r>
  </si>
  <si>
    <t>Módulo 3 - Provisão para Rescisão</t>
  </si>
  <si>
    <t>Provisão para Rescisão</t>
  </si>
  <si>
    <t>Valor  (R$)</t>
  </si>
  <si>
    <r>
      <rPr>
        <b/>
        <sz val="10"/>
        <rFont val="Arial"/>
        <family val="2"/>
      </rPr>
      <t xml:space="preserve">Aviso Prévio Indenizado     </t>
    </r>
    <r>
      <rPr>
        <b/>
        <sz val="8"/>
        <color indexed="10"/>
        <rFont val="Arial"/>
        <family val="2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</si>
  <si>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t>Incidência do FGTS sobre o Aviso Prévio Indenizado</t>
  </si>
  <si>
    <r>
      <rPr>
        <b/>
        <sz val="10"/>
        <rFont val="Arial"/>
        <family val="2"/>
      </rPr>
      <t xml:space="preserve">Multa do FGTS e contribuição social sobre o Aviso Prévio Indenizado </t>
    </r>
    <r>
      <rPr>
        <b/>
        <sz val="8"/>
        <color indexed="10"/>
        <rFont val="Arial"/>
        <family val="2"/>
      </rPr>
      <t>Obrigatória a cotação de 0,24% sobre o valor do Módulo 1 – Composição da Remuneração, conforme Anexo XII da IN Seges nº 5/2017 (0,24% + 4,76% = 5,0%)</t>
    </r>
  </si>
  <si>
    <t xml:space="preserve">Incidência dos encargos do Submódulo 2.2 sobre o Aviso Prévio Trabalhado         </t>
  </si>
  <si>
    <r>
      <rPr>
        <b/>
        <sz val="10"/>
        <rFont val="Arial"/>
        <family val="2"/>
      </rPr>
      <t xml:space="preserve">Multa do FGTS e contribuição social sobre o Aviso Prévio Trabalhado </t>
    </r>
    <r>
      <rPr>
        <b/>
        <sz val="8"/>
        <color indexed="10"/>
        <rFont val="Arial"/>
        <family val="2"/>
      </rPr>
      <t>Obrigatória a cotação de 4,76% sobre o valor do Módulo 1 – Composição da Remuneração, conforme Anexo XII da IN Seges nº 5/2017 (4,76%+0,24% = 5,0%)</t>
    </r>
  </si>
  <si>
    <t>Módulo 4 - Custo de Reposição do Profissional Ausente</t>
  </si>
  <si>
    <t>Base de cálculo para o Custo de Reposição do Profissional Ausente (substituto): BCCPA = Rem + 13º + Férias + 1/3Férias</t>
  </si>
  <si>
    <t>4.1</t>
  </si>
  <si>
    <t>Ausências Legais</t>
  </si>
  <si>
    <t>Férias</t>
  </si>
  <si>
    <r>
      <rPr>
        <b/>
        <sz val="10"/>
        <rFont val="Arial"/>
        <family val="2"/>
      </rPr>
      <t xml:space="preserve">Ausências Legais                                               </t>
    </r>
    <r>
      <rPr>
        <b/>
        <sz val="10"/>
        <color indexed="10"/>
        <rFont val="Arial"/>
        <family val="2"/>
      </rPr>
      <t>Cálculo do valor = [(</t>
    </r>
    <r>
      <rPr>
        <b/>
        <sz val="10"/>
        <color indexed="12"/>
        <rFont val="Arial"/>
        <family val="2"/>
      </rPr>
      <t>BCCPA</t>
    </r>
    <r>
      <rPr>
        <b/>
        <sz val="10"/>
        <color indexed="10"/>
        <rFont val="Arial"/>
        <family val="2"/>
      </rPr>
      <t>/30)x2,96dias]/12</t>
    </r>
  </si>
  <si>
    <r>
      <rPr>
        <b/>
        <sz val="10"/>
        <rFont val="Arial"/>
        <family val="2"/>
      </rPr>
      <t xml:space="preserve">Licença-Paternidade                                         </t>
    </r>
    <r>
      <rPr>
        <b/>
        <sz val="10"/>
        <color indexed="10"/>
        <rFont val="Arial"/>
        <family val="2"/>
      </rPr>
      <t>Cálculo do valor = {[(</t>
    </r>
    <r>
      <rPr>
        <b/>
        <sz val="10"/>
        <color indexed="12"/>
        <rFont val="Arial"/>
        <family val="2"/>
      </rPr>
      <t>BCCPA</t>
    </r>
    <r>
      <rPr>
        <b/>
        <sz val="10"/>
        <color indexed="10"/>
        <rFont val="Arial"/>
        <family val="2"/>
      </rPr>
      <t>/30)x5dias]/12}x1,5%</t>
    </r>
  </si>
  <si>
    <r>
      <rPr>
        <b/>
        <sz val="10"/>
        <rFont val="Arial"/>
        <family val="2"/>
      </rPr>
      <t xml:space="preserve">Ausência por acidente de trabalho                 </t>
    </r>
    <r>
      <rPr>
        <b/>
        <sz val="10"/>
        <color indexed="10"/>
        <rFont val="Arial"/>
        <family val="2"/>
      </rPr>
      <t>Cálculo do valor  = {[(</t>
    </r>
    <r>
      <rPr>
        <b/>
        <sz val="10"/>
        <color indexed="12"/>
        <rFont val="Arial"/>
        <family val="2"/>
      </rPr>
      <t>BCCPA</t>
    </r>
    <r>
      <rPr>
        <b/>
        <sz val="10"/>
        <color indexed="10"/>
        <rFont val="Arial"/>
        <family val="2"/>
      </rPr>
      <t>/30)x15dias]/12}x0,78%</t>
    </r>
  </si>
  <si>
    <r>
      <rPr>
        <b/>
        <sz val="10"/>
        <rFont val="Arial"/>
        <family val="2"/>
      </rPr>
      <t xml:space="preserve">Afastamento Maternidade                                </t>
    </r>
    <r>
      <rPr>
        <b/>
        <sz val="10"/>
        <color indexed="10"/>
        <rFont val="Arial"/>
        <family val="2"/>
      </rPr>
      <t>Cálculo do valor = {[(</t>
    </r>
    <r>
      <rPr>
        <b/>
        <sz val="10"/>
        <color indexed="12"/>
        <rFont val="Arial"/>
        <family val="2"/>
      </rPr>
      <t>Rem</t>
    </r>
    <r>
      <rPr>
        <b/>
        <sz val="10"/>
        <color indexed="10"/>
        <rFont val="Arial"/>
        <family val="2"/>
      </rPr>
      <t>+1/3</t>
    </r>
    <r>
      <rPr>
        <b/>
        <sz val="10"/>
        <color indexed="12"/>
        <rFont val="Arial"/>
        <family val="2"/>
      </rPr>
      <t>Rem</t>
    </r>
    <r>
      <rPr>
        <b/>
        <sz val="10"/>
        <color indexed="10"/>
        <rFont val="Arial"/>
        <family val="2"/>
      </rPr>
      <t>)/12]x(4/12)}x2%</t>
    </r>
  </si>
  <si>
    <r>
      <rPr>
        <b/>
        <sz val="10"/>
        <color indexed="8"/>
        <rFont val="Arial"/>
        <family val="2"/>
      </rPr>
      <t xml:space="preserve">(Outros)   Ausência por doença                      </t>
    </r>
    <r>
      <rPr>
        <b/>
        <sz val="10"/>
        <color indexed="10"/>
        <rFont val="Arial"/>
        <family val="2"/>
      </rPr>
      <t>Cálculo do valor = [(</t>
    </r>
    <r>
      <rPr>
        <b/>
        <sz val="10"/>
        <color indexed="12"/>
        <rFont val="Arial"/>
        <family val="2"/>
      </rPr>
      <t>BCCPA</t>
    </r>
    <r>
      <rPr>
        <b/>
        <sz val="10"/>
        <color indexed="10"/>
        <rFont val="Arial"/>
        <family val="2"/>
      </rPr>
      <t>)/30)x5dias]/12</t>
    </r>
  </si>
  <si>
    <t>Incidência dos encargos do Submódulo 2.2 sobre o  total do Submódulo 4.1</t>
  </si>
  <si>
    <t>Submódulo 4.2 – Intrajornada</t>
  </si>
  <si>
    <t xml:space="preserve">4.2 </t>
  </si>
  <si>
    <t>Intrajornada</t>
  </si>
  <si>
    <t>Intervalo para repouso ou alimentação</t>
  </si>
  <si>
    <t>Incidência dos encargos do Submódulo 2.2 sobre o total do Submódulo 4.2</t>
  </si>
  <si>
    <t>Quadro-Resumo do Módulo 4 – Custo de Reposição do Profissional Ausente</t>
  </si>
  <si>
    <t>Custo de Reposição do Profissional Ausente</t>
  </si>
  <si>
    <t>4.2</t>
  </si>
  <si>
    <t>Módulo 5 – Insumos Diversos</t>
  </si>
  <si>
    <t>Insumos diversos</t>
  </si>
  <si>
    <t xml:space="preserve">Uniformes </t>
  </si>
  <si>
    <t xml:space="preserve">Materiais </t>
  </si>
  <si>
    <t xml:space="preserve">Equipamentos </t>
  </si>
  <si>
    <t xml:space="preserve">Outros (especificar) </t>
  </si>
  <si>
    <t>0.00</t>
  </si>
  <si>
    <t>Módulo 6 -  Custos Indiretos, Lucro e Tributos</t>
  </si>
  <si>
    <t xml:space="preserve">Custos Indiretos, Lucro e Tributos </t>
  </si>
  <si>
    <t>Valor
(R$)</t>
  </si>
  <si>
    <t>BASE DE CÁLCULO DOS CUSTOS INDIRETOS</t>
  </si>
  <si>
    <t>Custos Indiretos</t>
  </si>
  <si>
    <t>BASE DE CÁLCULO DO LUCRO</t>
  </si>
  <si>
    <t>Lucro</t>
  </si>
  <si>
    <t>BASE DE CÁLCULO DOS TRIBUTOS</t>
  </si>
  <si>
    <t>Tributos</t>
  </si>
  <si>
    <t>C.1    Tributos Federais (especificar)</t>
  </si>
  <si>
    <r>
      <rPr>
        <b/>
        <sz val="10"/>
        <rFont val="Arial"/>
        <family val="2"/>
      </rPr>
      <t xml:space="preserve">  a) Cofins  </t>
    </r>
    <r>
      <rPr>
        <sz val="10"/>
        <color indexed="10"/>
        <rFont val="Arial"/>
        <family val="2"/>
      </rPr>
      <t>(depende do regime de tributação - utilizada a hipótese de Lucro Real)</t>
    </r>
  </si>
  <si>
    <r>
      <rPr>
        <b/>
        <sz val="10"/>
        <rFont val="Arial"/>
        <family val="2"/>
      </rPr>
      <t xml:space="preserve">  b) PIS </t>
    </r>
    <r>
      <rPr>
        <sz val="10"/>
        <color indexed="10"/>
        <rFont val="Arial"/>
        <family val="2"/>
      </rPr>
      <t>(depende do regime de tributação - utilizada a hipótese de Lucro Real)</t>
    </r>
  </si>
  <si>
    <t xml:space="preserve"> c) IRPJ</t>
  </si>
  <si>
    <t xml:space="preserve"> d) CSLL</t>
  </si>
  <si>
    <t>C.2   Tributos Estaduais (especificar)</t>
  </si>
  <si>
    <t>C.3   Tributos Municipais (especificar):</t>
  </si>
  <si>
    <r>
      <rPr>
        <b/>
        <sz val="10"/>
        <rFont val="Arial"/>
        <family val="2"/>
      </rPr>
      <t xml:space="preserve">  a) ISS             </t>
    </r>
    <r>
      <rPr>
        <sz val="10"/>
        <color indexed="10"/>
        <rFont val="Arial"/>
        <family val="2"/>
      </rPr>
      <t xml:space="preserve">   (LEI Nº 3282, DE 24/12/2003 - Prefeitura de Sapiranga/RS)</t>
    </r>
  </si>
  <si>
    <t xml:space="preserve">Percentual Total e Valor Total de Tributos  </t>
  </si>
  <si>
    <t>Cálculo dos Tributos</t>
  </si>
  <si>
    <t xml:space="preserve">                  Base de Cálculo para os Tributos</t>
  </si>
  <si>
    <t xml:space="preserve"> = ( ---------------------------------------------------------------- ) x Alíquota do Tributo</t>
  </si>
  <si>
    <t xml:space="preserve">         1 - (Total de Tributos em % dividido por 100)</t>
  </si>
  <si>
    <t xml:space="preserve">
2. QUADRO-RESUMO DO CUSTO POR EMPREGADO
</t>
  </si>
  <si>
    <t xml:space="preserve">                          Mão de obra vinculada à execução contratual (valor por empregado)</t>
  </si>
  <si>
    <t>Módulo 1 - Composição da Remuneração</t>
  </si>
  <si>
    <t>Módulo 3 – Provisão para Rescisão</t>
  </si>
  <si>
    <t>Módulo 4 – Custo de Reposição do Profissional Ausente</t>
  </si>
  <si>
    <t xml:space="preserve">Módulo 5 - Insumo Diversos </t>
  </si>
  <si>
    <t>Subtotal (A + B + C + D + E)</t>
  </si>
  <si>
    <t>Módulo 6 - Custos Indiretos, Lucro e Tributos</t>
  </si>
  <si>
    <t>Valor Total por Empregado</t>
  </si>
  <si>
    <t>3.  COMPLEMENTO DOS SERVIÇOS DE LIMPEZA E CONSERVAÇÃO</t>
  </si>
  <si>
    <t>PREÇO MENSAL UNITÁRIO POR M² (metro quadrado)</t>
  </si>
  <si>
    <t>MÃO DE OBRA 
       ENCARREGADO / SERVENTE</t>
  </si>
  <si>
    <t>(1) 
PRODUTIVIDADE
(1/M²)</t>
  </si>
  <si>
    <t>(2)
PREÇO HOMEM-MÊS                   (R$)</t>
  </si>
  <si>
    <t>(1 X 2)
SUBTOTAL
(R$/M²)</t>
  </si>
  <si>
    <r>
      <rPr>
        <sz val="10"/>
        <rFont val="Arial"/>
        <family val="2"/>
      </rPr>
      <t>ENC. / Pisos frios</t>
    </r>
    <r>
      <rPr>
        <sz val="10"/>
        <color indexed="53"/>
        <rFont val="Arial"/>
        <family val="2"/>
      </rPr>
      <t xml:space="preserve"> </t>
    </r>
    <r>
      <rPr>
        <sz val="10"/>
        <color indexed="10"/>
        <rFont val="Arial"/>
        <family val="2"/>
      </rPr>
      <t>= 1/(30** x 1200*)</t>
    </r>
  </si>
  <si>
    <r>
      <rPr>
        <sz val="10"/>
        <rFont val="Arial"/>
        <family val="2"/>
      </rPr>
      <t xml:space="preserve">SERV. / Pisos frios </t>
    </r>
    <r>
      <rPr>
        <sz val="10"/>
        <color indexed="10"/>
        <rFont val="Arial"/>
        <family val="2"/>
      </rPr>
      <t>= 1 / 1200*</t>
    </r>
  </si>
  <si>
    <t>TOTAL</t>
  </si>
  <si>
    <r>
      <rPr>
        <sz val="9"/>
        <rFont val="Arial"/>
        <family val="2"/>
      </rPr>
      <t xml:space="preserve">ENC. / Laboratórios </t>
    </r>
    <r>
      <rPr>
        <sz val="9"/>
        <color indexed="10"/>
        <rFont val="Arial"/>
        <family val="2"/>
      </rPr>
      <t>= 1/(30**x 400*)</t>
    </r>
  </si>
  <si>
    <r>
      <rPr>
        <sz val="9"/>
        <rFont val="Arial"/>
        <family val="2"/>
      </rPr>
      <t xml:space="preserve">SERV./Laboratórios </t>
    </r>
    <r>
      <rPr>
        <sz val="9"/>
        <color indexed="10"/>
        <rFont val="Arial"/>
        <family val="2"/>
      </rPr>
      <t>= 1/400*</t>
    </r>
  </si>
  <si>
    <r>
      <rPr>
        <sz val="9"/>
        <rFont val="Arial"/>
        <family val="2"/>
      </rPr>
      <t xml:space="preserve">ENC. / Almoxaridados/galpões </t>
    </r>
    <r>
      <rPr>
        <sz val="9"/>
        <color indexed="10"/>
        <rFont val="Arial"/>
        <family val="2"/>
      </rPr>
      <t>= 1/(30**x 2500*)</t>
    </r>
  </si>
  <si>
    <r>
      <rPr>
        <sz val="9"/>
        <rFont val="Arial"/>
        <family val="2"/>
      </rPr>
      <t xml:space="preserve">SERV./Almoxaridados/galpões </t>
    </r>
    <r>
      <rPr>
        <sz val="9"/>
        <color indexed="10"/>
        <rFont val="Arial"/>
        <family val="2"/>
      </rPr>
      <t>= 1/2500*</t>
    </r>
  </si>
  <si>
    <r>
      <rPr>
        <sz val="10"/>
        <rFont val="Arial"/>
        <family val="2"/>
      </rPr>
      <t xml:space="preserve">ENC. / Áreas com espaços livres - saguão, hall e salão </t>
    </r>
    <r>
      <rPr>
        <sz val="10"/>
        <color indexed="10"/>
        <rFont val="Arial"/>
        <family val="2"/>
      </rPr>
      <t>= 1/(30**x1500*)</t>
    </r>
  </si>
  <si>
    <r>
      <rPr>
        <sz val="10"/>
        <rFont val="Arial"/>
        <family val="2"/>
      </rPr>
      <t xml:space="preserve">SERV. / Áreas com espaços livres - saguão, hall e salão </t>
    </r>
    <r>
      <rPr>
        <sz val="10"/>
        <color indexed="10"/>
        <rFont val="Arial"/>
        <family val="2"/>
      </rPr>
      <t>= 1/1500*</t>
    </r>
  </si>
  <si>
    <r>
      <rPr>
        <sz val="10"/>
        <rFont val="Arial"/>
        <family val="2"/>
      </rPr>
      <t>ENC. / Banheiros</t>
    </r>
    <r>
      <rPr>
        <b/>
        <sz val="10"/>
        <rFont val="Arial"/>
        <family val="2"/>
      </rPr>
      <t xml:space="preserve"> </t>
    </r>
    <r>
      <rPr>
        <sz val="10"/>
        <color indexed="10"/>
        <rFont val="Arial"/>
        <family val="2"/>
      </rPr>
      <t>= 1(30**x250*)</t>
    </r>
  </si>
  <si>
    <r>
      <rPr>
        <sz val="10"/>
        <rFont val="Arial"/>
        <family val="2"/>
      </rPr>
      <t>SERV. / Banheiros</t>
    </r>
    <r>
      <rPr>
        <b/>
        <sz val="10"/>
        <rFont val="Arial"/>
        <family val="2"/>
      </rPr>
      <t xml:space="preserve"> </t>
    </r>
    <r>
      <rPr>
        <sz val="10"/>
        <color indexed="10"/>
        <rFont val="Arial"/>
        <family val="2"/>
      </rPr>
      <t>= 1/250*</t>
    </r>
  </si>
  <si>
    <r>
      <rPr>
        <sz val="10"/>
        <rFont val="Arial"/>
        <family val="2"/>
      </rPr>
      <t>ENC. / Varrição de passeios e arruamentos</t>
    </r>
    <r>
      <rPr>
        <sz val="10"/>
        <color indexed="10"/>
        <rFont val="Arial"/>
        <family val="2"/>
      </rPr>
      <t xml:space="preserve">  = 1/(30** x 9000*)</t>
    </r>
  </si>
  <si>
    <t>30</t>
  </si>
  <si>
    <r>
      <rPr>
        <sz val="10"/>
        <rFont val="Arial"/>
        <family val="2"/>
      </rPr>
      <t xml:space="preserve">SERV. / Varrição de passeios e arruamentos </t>
    </r>
    <r>
      <rPr>
        <sz val="10"/>
        <color indexed="10"/>
        <rFont val="Arial"/>
        <family val="2"/>
      </rPr>
      <t>= 1/9000*</t>
    </r>
  </si>
  <si>
    <r>
      <rPr>
        <sz val="10"/>
        <rFont val="Arial"/>
        <family val="2"/>
      </rPr>
      <t>ENC. / Coleta de detritos</t>
    </r>
    <r>
      <rPr>
        <sz val="10"/>
        <color indexed="10"/>
        <rFont val="Arial"/>
        <family val="2"/>
      </rPr>
      <t xml:space="preserve">  = 1/(30** x 100000*)</t>
    </r>
  </si>
  <si>
    <r>
      <rPr>
        <sz val="10"/>
        <rFont val="Arial"/>
        <family val="2"/>
      </rPr>
      <t xml:space="preserve">SERV. / Coleta de detritos </t>
    </r>
    <r>
      <rPr>
        <sz val="10"/>
        <color indexed="10"/>
        <rFont val="Arial"/>
        <family val="2"/>
      </rPr>
      <t>= 1/100000*</t>
    </r>
  </si>
  <si>
    <r>
      <rPr>
        <b/>
        <sz val="9"/>
        <rFont val="Arial"/>
        <family val="2"/>
      </rPr>
      <t xml:space="preserve">MÃO DE OBRA 
       </t>
    </r>
    <r>
      <rPr>
        <b/>
        <sz val="8"/>
        <color indexed="8"/>
        <rFont val="Arial"/>
        <family val="2"/>
      </rPr>
      <t>ENCARREGADO / SERVENTE</t>
    </r>
  </si>
  <si>
    <t>(1)
PRODUTIVIDADE 
(1/M²)</t>
  </si>
  <si>
    <t>(2) FREQUÊNCIA NO MÊS    (HORAS)      16 ***</t>
  </si>
  <si>
    <t>(3)
 JORNADA DE TRABALHO NO MÊS
 (HORAS)</t>
  </si>
  <si>
    <t>(4) 
= (1 X 2 X 3)
Ki****</t>
  </si>
  <si>
    <t>(5)
PREÇO HOMEM-MÊS 
(R$)</t>
  </si>
  <si>
    <t>(6) = (4 X 5)
 SUBTOTAL
 (R$/M²)</t>
  </si>
  <si>
    <t>SERV. / Face externa com exposição a situação de risco = 1/(30**x160*)</t>
  </si>
  <si>
    <t>160</t>
  </si>
  <si>
    <t>1</t>
  </si>
  <si>
    <t>188,76</t>
  </si>
  <si>
    <t>SERV. / Face externa sem exposição a situação de risco = 1/380*</t>
  </si>
  <si>
    <t>SERV. / Face interna = 1/380*</t>
  </si>
  <si>
    <t>4. VALOR MENSAL DOS SERVIÇOS</t>
  </si>
  <si>
    <t>TIPO DE ÁREA</t>
  </si>
  <si>
    <t>PREÇO MENSAL UNITÁRIO (R$/M²)</t>
  </si>
  <si>
    <t>ÁREA
(M²)</t>
  </si>
  <si>
    <t>SUBTOTAL
(R$)</t>
  </si>
  <si>
    <t>b) Áreas internas - Pisos frios</t>
  </si>
  <si>
    <t>c) Áreas internas - Laboratórios</t>
  </si>
  <si>
    <t>d) Áreas internas - Almoxarifados/galpões</t>
  </si>
  <si>
    <t>f) Áreas internas - Áreas com espaços livres - saguão, hall e salão</t>
  </si>
  <si>
    <t>g) Áreas internas – Banheiros</t>
  </si>
  <si>
    <t>a) Áreas externa – Varrição de passeio e arruamentos</t>
  </si>
  <si>
    <t xml:space="preserve">b) Áreas externa -  Coleta de detritos em pátios e áreas verdes com frequência diária </t>
  </si>
  <si>
    <t>a) Esquadrias - Face interna</t>
  </si>
  <si>
    <r>
      <rPr>
        <b/>
        <sz val="10"/>
        <rFont val="Arial"/>
        <family val="2"/>
      </rPr>
      <t xml:space="preserve">b) Esquadrias - </t>
    </r>
    <r>
      <rPr>
        <b/>
        <sz val="10"/>
        <color indexed="8"/>
        <rFont val="Arial"/>
        <family val="1"/>
      </rPr>
      <t>Face externa sem exposição a situação de risco</t>
    </r>
  </si>
  <si>
    <r>
      <rPr>
        <b/>
        <sz val="10"/>
        <rFont val="Arial"/>
        <family val="2"/>
      </rPr>
      <t xml:space="preserve">c) Esquadrias - </t>
    </r>
    <r>
      <rPr>
        <b/>
        <sz val="10"/>
        <color indexed="8"/>
        <rFont val="Arial"/>
        <family val="1"/>
      </rPr>
      <t>Face externa com exposição a situação de risco</t>
    </r>
  </si>
  <si>
    <t>TOTAL DA ÁREA DE ESQUADRIAS</t>
  </si>
  <si>
    <t>Valor mensal do serviço</t>
  </si>
  <si>
    <t>Número de meses do contrato</t>
  </si>
  <si>
    <r>
      <rPr>
        <b/>
        <sz val="14"/>
        <rFont val="Arial"/>
        <family val="2"/>
      </rPr>
      <t xml:space="preserve">Valor global da proposta </t>
    </r>
    <r>
      <rPr>
        <b/>
        <sz val="10"/>
        <rFont val="Arial"/>
        <family val="2"/>
      </rPr>
      <t>(valor mensal do serviço x nº de meses do contrato)</t>
    </r>
  </si>
  <si>
    <t>QUANTIDADE DE PESSOAL ALOCADO NA EXECUÇÃO CONTRATUAL (item 6.2.e do Anexo VII da IN nº 5/2017</t>
  </si>
  <si>
    <t>Tipo de Mão de Obra</t>
  </si>
  <si>
    <t>Quantidade de Pessoal</t>
  </si>
  <si>
    <t>Servente de limpeza</t>
  </si>
  <si>
    <r>
      <rPr>
        <b/>
        <sz val="18"/>
        <rFont val="Arial"/>
        <family val="2"/>
      </rPr>
      <t xml:space="preserve">ANEXO ----  </t>
    </r>
    <r>
      <rPr>
        <b/>
        <sz val="18"/>
        <color indexed="10"/>
        <rFont val="Arial"/>
        <family val="2"/>
      </rPr>
      <t xml:space="preserve">do Pregão IFSul nº XX/2019 – </t>
    </r>
    <r>
      <rPr>
        <b/>
        <sz val="18"/>
        <color indexed="12"/>
        <rFont val="Arial"/>
        <family val="2"/>
      </rPr>
      <t xml:space="preserve">CONTA VINCULADA
</t>
    </r>
    <r>
      <rPr>
        <b/>
        <sz val="18"/>
        <color indexed="8"/>
        <rFont val="Arial"/>
        <family val="2"/>
      </rPr>
      <t xml:space="preserve">MODELO DE PLANILHA DE CUSTOS E FORMAÇÃO DE PREÇOS </t>
    </r>
    <r>
      <rPr>
        <b/>
        <sz val="18"/>
        <color indexed="20"/>
        <rFont val="Arial"/>
        <family val="2"/>
      </rPr>
      <t xml:space="preserve"> </t>
    </r>
    <r>
      <rPr>
        <b/>
        <sz val="18"/>
        <rFont val="Arial"/>
        <family val="2"/>
      </rPr>
      <t xml:space="preserve"> </t>
    </r>
  </si>
  <si>
    <t>xxxxxx</t>
  </si>
  <si>
    <t>INSUMOS DIVERSOS</t>
  </si>
  <si>
    <t>Materiais de Limpeza – SANEANTES DOMISSANITÁRIOS</t>
  </si>
  <si>
    <t>Unidade</t>
  </si>
  <si>
    <t>Quantidade Mensal</t>
  </si>
  <si>
    <t>Valor Unitário</t>
  </si>
  <si>
    <t>Água Sanitária de 1ª qualidade, galão de 5 litros</t>
  </si>
  <si>
    <t>galão</t>
  </si>
  <si>
    <t>Álcool 70 °INPM (70% p/p) ou 77 °GL (77% v/v)</t>
  </si>
  <si>
    <t>litro</t>
  </si>
  <si>
    <t>Álcool gel(álcool etílico, tipo hidratado) – 450 ml</t>
  </si>
  <si>
    <t>unidade</t>
  </si>
  <si>
    <t xml:space="preserve">Detergente líquido, para lavagem de louças – 500ml. </t>
  </si>
  <si>
    <t>Desinfetante bactericida de uso geral para banheiros</t>
  </si>
  <si>
    <t>Desodorizador de ar de 360 ml (tipo aerossol)</t>
  </si>
  <si>
    <t xml:space="preserve">Inseticida aerosol / spray para eliminação de pragas, tais como baratas, aranhas, etc. 300ml </t>
  </si>
  <si>
    <t>Limpa vidros</t>
  </si>
  <si>
    <t>Limpador Multiuso para limpeza pesada – 500 ml</t>
  </si>
  <si>
    <t>Desinfetante perfumado para pisos – 5l- Lavanda ou Floral</t>
  </si>
  <si>
    <t>Lustra móveis em creme – 200 ml</t>
  </si>
  <si>
    <t>Sabão em barra, pacote 5 unidades</t>
  </si>
  <si>
    <t>pacote</t>
  </si>
  <si>
    <t>Sabão em pó</t>
  </si>
  <si>
    <t>kg</t>
  </si>
  <si>
    <t>Saponáceo cremoso – 300 ml</t>
  </si>
  <si>
    <t>Tela desodorante para mictório</t>
  </si>
  <si>
    <t>CUSTO MENSAL DOS SANEANTES DOMISSANITÁRIOS</t>
  </si>
  <si>
    <r>
      <rPr>
        <b/>
        <sz val="10"/>
        <color indexed="18"/>
        <rFont val="Arial"/>
        <family val="2"/>
      </rPr>
      <t xml:space="preserve">Materiais de Limpeza – </t>
    </r>
    <r>
      <rPr>
        <b/>
        <sz val="15"/>
        <color indexed="18"/>
        <rFont val="Arial"/>
        <family val="2"/>
      </rPr>
      <t>COMPLEMENTARES</t>
    </r>
  </si>
  <si>
    <t>Papel higiênico branco de alta qualidade, folha dupla,  tipo personal, Nice ou similar, fardo com 8 rolos de 300m x 10 cm</t>
  </si>
  <si>
    <t>fardo</t>
  </si>
  <si>
    <t>Papel toalha branco 100% celulose interfolhado com 1000 folhas 20cm x 21cm</t>
  </si>
  <si>
    <t>Sabonete líquido para mãos, cremoso, 5 litros (galão)</t>
  </si>
  <si>
    <t>CUSTO MENSAL DOS  MATERIAIS DE LIMPEZA – COMPLEMENTARES</t>
  </si>
  <si>
    <t>UTENSÍLIOS</t>
  </si>
  <si>
    <t>Quantidade a disponibilizar</t>
  </si>
  <si>
    <t>Vida Útil   (em meses)</t>
  </si>
  <si>
    <t>Balde plástico, 20 litros</t>
  </si>
  <si>
    <t>Desentupidor de pia</t>
  </si>
  <si>
    <t>Desentupidor de vaso sanitário</t>
  </si>
  <si>
    <t>Escova nylon manual, cerdas duras (escova de mão)</t>
  </si>
  <si>
    <t>Escova para vaso sanitário</t>
  </si>
  <si>
    <t>Esponja dupla face</t>
  </si>
  <si>
    <t xml:space="preserve">Extensão elétrica com cabo PP - comprimento = 50m </t>
  </si>
  <si>
    <t>Flanela amarela de algodão, 40x60cm</t>
  </si>
  <si>
    <t>Varal portátil para secagem de panos</t>
  </si>
  <si>
    <t>Prendedor de roupas, pacote com 12 unidades</t>
  </si>
  <si>
    <t>Pá de Lixo, com cabo longo</t>
  </si>
  <si>
    <t>Pano de chão, 100% algodão – 50x70 cm</t>
  </si>
  <si>
    <t>Refil MOP Úmido Algodão (30 cm)</t>
  </si>
  <si>
    <t>Pano de pratos, 100% algodão – 45 x 65 cm</t>
  </si>
  <si>
    <t>Rodo com  2 borrachas - 40cm de largura, com cabo</t>
  </si>
  <si>
    <t>Rodo limpa vidros telescópico, extensão aprox. 3m</t>
  </si>
  <si>
    <t>Saco de lixo 100L, pacote 100 unidades – cor preta</t>
  </si>
  <si>
    <t>Saco de lixo 100L, pacote 100 unidades – cor azul</t>
  </si>
  <si>
    <t>Saco de lixo 40L, pacote 100 unidades – cor preta</t>
  </si>
  <si>
    <t>Saco de lixo 40L, pacote 100 unidades – cor azul</t>
  </si>
  <si>
    <t>Vassoura ancinho de ferro com 22 dentes</t>
  </si>
  <si>
    <t>Vassoura de nylon 30cm c/ cabo de madeira plastificado</t>
  </si>
  <si>
    <t>Vassoura de palha, comprimento das cerdas: 60cm</t>
  </si>
  <si>
    <t>Borrifador de líquidos, com bico borrifador, cap.: 500 ml</t>
  </si>
  <si>
    <t xml:space="preserve">CUSTO MENSAL DOS UTENSÍLIOS </t>
  </si>
  <si>
    <t>EQUIPAMENTOS</t>
  </si>
  <si>
    <t>Depreciação (em meses)</t>
  </si>
  <si>
    <t>Lavador a jato de alta pressão</t>
  </si>
  <si>
    <t>Aspirador de pó/água</t>
  </si>
  <si>
    <t>Mangueira  de jardim com 100 metros</t>
  </si>
  <si>
    <t>Carrinho de lixo comum</t>
  </si>
  <si>
    <t>Escada de alumínio de 3 degraus</t>
  </si>
  <si>
    <t>Escada de alumínio de 8 degraus</t>
  </si>
  <si>
    <t>MOP completo pó</t>
  </si>
  <si>
    <t>kit</t>
  </si>
  <si>
    <t>MOP completo úmido</t>
  </si>
  <si>
    <t>Placas sinalizadoras</t>
  </si>
  <si>
    <t>Ponto biométrico</t>
  </si>
  <si>
    <t xml:space="preserve">CUSTO MENSAL DOS EQUIPAMENTOS </t>
  </si>
  <si>
    <t>UNIFORMES</t>
  </si>
  <si>
    <t>Calça Helanca (Agasalho) 100% Poliamida Unissex, com elástico na cintura</t>
  </si>
  <si>
    <t>Camiseta de manga curta com logotipo e nome da contratada</t>
  </si>
  <si>
    <t>Camiseta de manga longa com logotipo e nome da contratada</t>
  </si>
  <si>
    <t>Jaqueta, forrada com elástico nos punhos e firme com logotipo e nome da contratada</t>
  </si>
  <si>
    <t>Moletom firme com logotipo e nome da contratada</t>
  </si>
  <si>
    <t>Calçado tipo botina de couro, em PU com solado antiderrapante, resistente a choque elétrico</t>
  </si>
  <si>
    <t>par</t>
  </si>
  <si>
    <t>Calçado tipo galocha impermeável de PVC, antiderrapante e cano médio</t>
  </si>
  <si>
    <t xml:space="preserve">Luva látex forrada </t>
  </si>
  <si>
    <t>CUSTO MENSAL DOS UNIFORMES PARA 1 SERVENTE</t>
  </si>
  <si>
    <t>QUADRO RESUMO</t>
  </si>
  <si>
    <t>CUSTO MENSAL</t>
  </si>
  <si>
    <t>Custo Mensal por SERVENTE</t>
  </si>
  <si>
    <t xml:space="preserve">Materiais de Limpeza – SANEANTES DOMISSANITÁRIOS </t>
  </si>
  <si>
    <t>Materiais de Limpeza – COMPLEMENTARES</t>
  </si>
  <si>
    <t>Materiais de Limpeza – UTENSÍLIOS</t>
  </si>
  <si>
    <t>MATERIAIS</t>
  </si>
  <si>
    <t>TOTAIS</t>
  </si>
  <si>
    <t>Quantidade da mão de obra alocada na prestação dos serviços</t>
  </si>
  <si>
    <t>OBS.: Pesquisa de preços realizada no Painel de preços do Governo Federal pelo site: http://paineldeprecos.planejamento.gov.br/</t>
  </si>
  <si>
    <r>
      <rPr>
        <b/>
        <sz val="18"/>
        <rFont val="Arial"/>
        <family val="2"/>
      </rPr>
      <t xml:space="preserve">ANEXO ----  </t>
    </r>
    <r>
      <rPr>
        <b/>
        <sz val="18"/>
        <color indexed="10"/>
        <rFont val="Arial"/>
        <family val="2"/>
      </rPr>
      <t xml:space="preserve">do Pregão nº XX/2019 – </t>
    </r>
    <r>
      <rPr>
        <b/>
        <sz val="18"/>
        <color indexed="12"/>
        <rFont val="Arial"/>
        <family val="2"/>
      </rPr>
      <t xml:space="preserve">CONTA VINCULADA
</t>
    </r>
    <r>
      <rPr>
        <b/>
        <sz val="18"/>
        <color indexed="8"/>
        <rFont val="Arial"/>
        <family val="2"/>
      </rPr>
      <t xml:space="preserve">MODELO DE PLANILHA DE CUSTOS E FORMAÇÃO DE PREÇOS </t>
    </r>
    <r>
      <rPr>
        <b/>
        <sz val="18"/>
        <color indexed="20"/>
        <rFont val="Arial"/>
        <family val="2"/>
      </rPr>
      <t xml:space="preserve"> </t>
    </r>
    <r>
      <rPr>
        <b/>
        <sz val="18"/>
        <rFont val="Arial"/>
        <family val="2"/>
      </rPr>
      <t xml:space="preserve"> </t>
    </r>
  </si>
  <si>
    <t xml:space="preserve">xxxxxxx </t>
  </si>
  <si>
    <t xml:space="preserve">Dia: </t>
  </si>
  <si>
    <t xml:space="preserve">Tipo de Serviço: Limpeza e Conservação Predial Para o Câmpus Sapiranga do IFSUL (Insalubridade 40%)       </t>
  </si>
  <si>
    <t>Valor global da proposta (valor mensal do serviço x nº de meses do contrato)</t>
  </si>
  <si>
    <t>Valor Total Mensal do Contrato</t>
  </si>
  <si>
    <t>Valor Total Anual do Contrato</t>
  </si>
  <si>
    <r>
      <t xml:space="preserve">Aviso Prévio Trabalhado                 (negociar extinção/redução na 1ª prorrogação)
</t>
    </r>
    <r>
      <rPr>
        <b/>
        <sz val="10"/>
        <color indexed="10"/>
        <rFont val="Arial"/>
        <family val="2"/>
      </rPr>
      <t>Cálculo do valor= [(Rem/30)x7]/20 meses do contratox90% dos empregados - ao final do contrato</t>
    </r>
  </si>
  <si>
    <t xml:space="preserve">      B.1) Valor do auxílio-alimentação (clausula 18 da CCT 2022): </t>
  </si>
  <si>
    <t xml:space="preserve">Plano de Benefício Social Familiar (cláusula 29 da CCT 2022)  </t>
  </si>
  <si>
    <t>Quantidade 20 meses</t>
  </si>
  <si>
    <t>Custo 20 meses</t>
  </si>
  <si>
    <t>CUSTO DOS MATERIAIS DE LIMPEZA – COMPLEMENTARES</t>
  </si>
  <si>
    <t>CISTO DOS SANEANTES DOMISSANITÁRIOS</t>
  </si>
  <si>
    <t xml:space="preserve">CUSTO DOS UTENSÍLIOS </t>
  </si>
  <si>
    <t>CUSTO 20 MESES</t>
  </si>
  <si>
    <t xml:space="preserve">CUSTO DOS EQUIPAMENTOS </t>
  </si>
  <si>
    <t>CUSTO DOS UNIFORMES PARA 1 SERVENTE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</si>
</sst>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0" formatCode="_(* #,##0.00_);_(* \(#,##0.00\);_(* \-??_);_(@_)"/>
    <numFmt numFmtId="171" formatCode="0.000%"/>
    <numFmt numFmtId="172" formatCode="0.0000"/>
    <numFmt numFmtId="173" formatCode="0.0000%"/>
    <numFmt numFmtId="174" formatCode="&quot;R$ &quot;#,##0.00"/>
    <numFmt numFmtId="175" formatCode="#,##0.0000000"/>
    <numFmt numFmtId="176" formatCode="0.0"/>
    <numFmt numFmtId="177" formatCode="_(&quot;R$ &quot;* #,##0.00_);_(&quot;R$ &quot;* \(#,##0.00\);_(&quot;R$ &quot;* \-??_);_(@_)"/>
  </numFmts>
  <fonts count="43" x14ac:knownFonts="1">
    <font>
      <sz val="10"/>
      <name val="Arial"/>
      <family val="2"/>
    </font>
    <font>
      <b/>
      <sz val="18"/>
      <color indexed="56"/>
      <name val="Cambria"/>
      <family val="2"/>
    </font>
    <font>
      <b/>
      <sz val="18"/>
      <color indexed="20"/>
      <name val="Arial"/>
      <family val="2"/>
    </font>
    <font>
      <b/>
      <sz val="18"/>
      <name val="Arial"/>
      <family val="2"/>
    </font>
    <font>
      <b/>
      <sz val="18"/>
      <color indexed="10"/>
      <name val="Arial"/>
      <family val="2"/>
    </font>
    <font>
      <b/>
      <sz val="18"/>
      <color indexed="12"/>
      <name val="Arial"/>
      <family val="2"/>
    </font>
    <font>
      <b/>
      <sz val="18"/>
      <color indexed="8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1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5"/>
      <name val="Arial"/>
      <family val="2"/>
    </font>
    <font>
      <b/>
      <sz val="12"/>
      <name val="Arial"/>
      <family val="2"/>
    </font>
    <font>
      <b/>
      <sz val="11"/>
      <color indexed="10"/>
      <name val="Arial"/>
      <family val="2"/>
    </font>
    <font>
      <b/>
      <sz val="11"/>
      <color indexed="8"/>
      <name val="Arial"/>
      <family val="2"/>
    </font>
    <font>
      <b/>
      <sz val="8"/>
      <color indexed="10"/>
      <name val="Arial"/>
      <family val="2"/>
    </font>
    <font>
      <b/>
      <sz val="10"/>
      <color indexed="17"/>
      <name val="Arial"/>
      <family val="2"/>
    </font>
    <font>
      <b/>
      <sz val="9"/>
      <color indexed="10"/>
      <name val="Arial"/>
      <family val="2"/>
    </font>
    <font>
      <b/>
      <sz val="10"/>
      <color indexed="12"/>
      <name val="Arial"/>
      <family val="2"/>
    </font>
    <font>
      <b/>
      <strike/>
      <sz val="10"/>
      <color indexed="17"/>
      <name val="Arial"/>
      <family val="2"/>
    </font>
    <font>
      <b/>
      <sz val="10"/>
      <name val="Arial"/>
      <family val="2"/>
      <charset val="1"/>
    </font>
    <font>
      <b/>
      <sz val="11"/>
      <color indexed="12"/>
      <name val="Arial"/>
      <family val="2"/>
    </font>
    <font>
      <sz val="10"/>
      <color indexed="10"/>
      <name val="Arial"/>
      <family val="2"/>
    </font>
    <font>
      <b/>
      <sz val="9"/>
      <name val="Arial"/>
      <family val="2"/>
    </font>
    <font>
      <sz val="10"/>
      <color indexed="53"/>
      <name val="Arial"/>
      <family val="2"/>
    </font>
    <font>
      <b/>
      <sz val="10"/>
      <color indexed="53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b/>
      <sz val="8"/>
      <color indexed="8"/>
      <name val="Arial"/>
      <family val="2"/>
    </font>
    <font>
      <b/>
      <sz val="10"/>
      <color indexed="8"/>
      <name val="Arial"/>
      <family val="1"/>
    </font>
    <font>
      <b/>
      <sz val="14"/>
      <name val="Arial"/>
      <family val="2"/>
    </font>
    <font>
      <b/>
      <sz val="14"/>
      <color indexed="10"/>
      <name val="Arial"/>
      <family val="2"/>
    </font>
    <font>
      <b/>
      <sz val="10"/>
      <color indexed="25"/>
      <name val="Arial"/>
      <family val="2"/>
    </font>
    <font>
      <b/>
      <sz val="14"/>
      <color indexed="18"/>
      <name val="Arial"/>
      <family val="2"/>
    </font>
    <font>
      <b/>
      <sz val="10"/>
      <color indexed="18"/>
      <name val="Arial"/>
      <family val="2"/>
    </font>
    <font>
      <b/>
      <sz val="15"/>
      <color indexed="18"/>
      <name val="Arial"/>
      <family val="2"/>
    </font>
    <font>
      <sz val="9"/>
      <color indexed="8"/>
      <name val="Arial"/>
      <family val="2"/>
    </font>
    <font>
      <sz val="10"/>
      <color indexed="60"/>
      <name val="Arial"/>
      <family val="2"/>
    </font>
    <font>
      <b/>
      <sz val="10"/>
      <color indexed="60"/>
      <name val="Arial"/>
      <family val="2"/>
    </font>
    <font>
      <b/>
      <sz val="12"/>
      <color indexed="18"/>
      <name val="Arial"/>
      <family val="2"/>
    </font>
    <font>
      <b/>
      <sz val="15"/>
      <color indexed="12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55"/>
      </patternFill>
    </fill>
    <fill>
      <patternFill patternType="solid">
        <fgColor indexed="62"/>
        <bgColor indexed="12"/>
      </patternFill>
    </fill>
    <fill>
      <patternFill patternType="solid">
        <fgColor indexed="13"/>
        <bgColor indexed="34"/>
      </patternFill>
    </fill>
    <fill>
      <patternFill patternType="solid">
        <fgColor indexed="34"/>
        <bgColor indexed="13"/>
      </patternFill>
    </fill>
    <fill>
      <patternFill patternType="solid">
        <fgColor indexed="27"/>
        <bgColor indexed="41"/>
      </patternFill>
    </fill>
  </fills>
  <borders count="16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</borders>
  <cellStyleXfs count="4">
    <xf numFmtId="0" fontId="0" fillId="0" borderId="0"/>
    <xf numFmtId="177" fontId="42" fillId="0" borderId="0" applyFill="0" applyBorder="0" applyAlignment="0" applyProtection="0"/>
    <xf numFmtId="0" fontId="1" fillId="0" borderId="0" applyNumberFormat="0" applyFill="0" applyBorder="0" applyAlignment="0" applyProtection="0"/>
    <xf numFmtId="170" fontId="42" fillId="0" borderId="0" applyFill="0" applyBorder="0" applyAlignment="0" applyProtection="0"/>
  </cellStyleXfs>
  <cellXfs count="256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right" vertical="center" wrapText="1"/>
    </xf>
    <xf numFmtId="4" fontId="11" fillId="0" borderId="1" xfId="3" applyNumberFormat="1" applyFont="1" applyFill="1" applyBorder="1" applyAlignment="1" applyProtection="1">
      <alignment horizontal="right" vertical="center"/>
    </xf>
    <xf numFmtId="0" fontId="9" fillId="2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vertical="center"/>
    </xf>
    <xf numFmtId="0" fontId="0" fillId="0" borderId="0" xfId="0" applyAlignment="1">
      <alignment wrapText="1"/>
    </xf>
    <xf numFmtId="10" fontId="7" fillId="0" borderId="1" xfId="0" applyNumberFormat="1" applyFont="1" applyFill="1" applyBorder="1" applyAlignment="1">
      <alignment vertical="center"/>
    </xf>
    <xf numFmtId="4" fontId="9" fillId="2" borderId="1" xfId="0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0" fontId="7" fillId="0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right" vertical="center"/>
    </xf>
    <xf numFmtId="171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/>
    </xf>
    <xf numFmtId="4" fontId="7" fillId="0" borderId="1" xfId="0" applyNumberFormat="1" applyFont="1" applyFill="1" applyBorder="1" applyAlignment="1">
      <alignment horizontal="right"/>
    </xf>
    <xf numFmtId="4" fontId="7" fillId="2" borderId="1" xfId="0" applyNumberFormat="1" applyFont="1" applyFill="1" applyBorder="1" applyAlignment="1">
      <alignment horizontal="right" vertical="center"/>
    </xf>
    <xf numFmtId="0" fontId="9" fillId="2" borderId="1" xfId="0" applyFont="1" applyFill="1" applyBorder="1" applyAlignment="1">
      <alignment horizontal="center" vertical="center"/>
    </xf>
    <xf numFmtId="10" fontId="7" fillId="0" borderId="2" xfId="0" applyNumberFormat="1" applyFont="1" applyFill="1" applyBorder="1" applyAlignment="1">
      <alignment horizontal="right" vertical="center"/>
    </xf>
    <xf numFmtId="4" fontId="7" fillId="0" borderId="1" xfId="0" applyNumberFormat="1" applyFont="1" applyFill="1" applyBorder="1" applyAlignment="1">
      <alignment horizontal="right" vertical="center"/>
    </xf>
    <xf numFmtId="10" fontId="7" fillId="0" borderId="2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 wrapText="1"/>
    </xf>
    <xf numFmtId="9" fontId="7" fillId="0" borderId="1" xfId="0" applyNumberFormat="1" applyFont="1" applyBorder="1" applyAlignment="1">
      <alignment horizontal="left" vertical="center" wrapText="1"/>
    </xf>
    <xf numFmtId="172" fontId="7" fillId="0" borderId="1" xfId="0" applyNumberFormat="1" applyFont="1" applyBorder="1" applyAlignment="1">
      <alignment horizontal="left" vertical="center" wrapText="1"/>
    </xf>
    <xf numFmtId="173" fontId="7" fillId="0" borderId="2" xfId="0" applyNumberFormat="1" applyFont="1" applyBorder="1" applyAlignment="1">
      <alignment horizontal="right" vertical="center"/>
    </xf>
    <xf numFmtId="173" fontId="7" fillId="2" borderId="1" xfId="0" applyNumberFormat="1" applyFont="1" applyFill="1" applyBorder="1" applyAlignment="1">
      <alignment horizontal="right" vertical="center"/>
    </xf>
    <xf numFmtId="4" fontId="7" fillId="0" borderId="1" xfId="0" applyNumberFormat="1" applyFont="1" applyBorder="1" applyAlignment="1">
      <alignment horizontal="right" vertical="center"/>
    </xf>
    <xf numFmtId="4" fontId="7" fillId="0" borderId="1" xfId="0" applyNumberFormat="1" applyFont="1" applyBorder="1" applyAlignment="1">
      <alignment horizontal="center" vertical="center"/>
    </xf>
    <xf numFmtId="4" fontId="18" fillId="0" borderId="1" xfId="0" applyNumberFormat="1" applyFont="1" applyBorder="1" applyAlignment="1" applyProtection="1">
      <alignment vertical="center"/>
    </xf>
    <xf numFmtId="3" fontId="18" fillId="0" borderId="1" xfId="0" applyNumberFormat="1" applyFont="1" applyBorder="1" applyAlignment="1" applyProtection="1">
      <alignment vertical="center"/>
    </xf>
    <xf numFmtId="0" fontId="20" fillId="0" borderId="1" xfId="0" applyFont="1" applyFill="1" applyBorder="1" applyAlignment="1">
      <alignment horizontal="center" vertical="center"/>
    </xf>
    <xf numFmtId="3" fontId="18" fillId="0" borderId="1" xfId="0" applyNumberFormat="1" applyFont="1" applyBorder="1" applyAlignment="1">
      <alignment vertical="center"/>
    </xf>
    <xf numFmtId="4" fontId="7" fillId="0" borderId="1" xfId="0" applyNumberFormat="1" applyFont="1" applyBorder="1" applyAlignment="1">
      <alignment horizontal="right" vertical="center" wrapText="1"/>
    </xf>
    <xf numFmtId="0" fontId="21" fillId="0" borderId="1" xfId="0" applyFont="1" applyFill="1" applyBorder="1" applyAlignment="1">
      <alignment horizontal="center" vertical="center" wrapText="1"/>
    </xf>
    <xf numFmtId="2" fontId="21" fillId="0" borderId="1" xfId="0" applyNumberFormat="1" applyFont="1" applyFill="1" applyBorder="1" applyAlignment="1">
      <alignment horizontal="right" vertical="center" wrapText="1"/>
    </xf>
    <xf numFmtId="2" fontId="21" fillId="2" borderId="1" xfId="0" applyNumberFormat="1" applyFont="1" applyFill="1" applyBorder="1" applyAlignment="1">
      <alignment horizontal="right" vertical="center" wrapText="1"/>
    </xf>
    <xf numFmtId="10" fontId="19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/>
    </xf>
    <xf numFmtId="4" fontId="7" fillId="0" borderId="1" xfId="0" applyNumberFormat="1" applyFont="1" applyFill="1" applyBorder="1" applyAlignment="1"/>
    <xf numFmtId="4" fontId="21" fillId="0" borderId="1" xfId="0" applyNumberFormat="1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center"/>
    </xf>
    <xf numFmtId="4" fontId="7" fillId="2" borderId="1" xfId="0" applyNumberFormat="1" applyFont="1" applyFill="1" applyBorder="1" applyAlignment="1">
      <alignment horizontal="right"/>
    </xf>
    <xf numFmtId="4" fontId="9" fillId="2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right" vertical="center" wrapText="1"/>
    </xf>
    <xf numFmtId="4" fontId="7" fillId="2" borderId="1" xfId="0" applyNumberFormat="1" applyFont="1" applyFill="1" applyBorder="1" applyAlignment="1">
      <alignment horizontal="right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/>
    </xf>
    <xf numFmtId="10" fontId="7" fillId="0" borderId="1" xfId="0" applyNumberFormat="1" applyFont="1" applyBorder="1" applyAlignment="1">
      <alignment horizontal="right" vertical="center"/>
    </xf>
    <xf numFmtId="10" fontId="8" fillId="0" borderId="1" xfId="0" applyNumberFormat="1" applyFont="1" applyBorder="1" applyAlignment="1">
      <alignment horizontal="center" vertical="center"/>
    </xf>
    <xf numFmtId="10" fontId="7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/>
    </xf>
    <xf numFmtId="10" fontId="7" fillId="0" borderId="1" xfId="0" applyNumberFormat="1" applyFont="1" applyBorder="1" applyAlignment="1">
      <alignment horizontal="right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10" fontId="8" fillId="0" borderId="1" xfId="0" applyNumberFormat="1" applyFont="1" applyBorder="1" applyAlignment="1">
      <alignment horizontal="right" vertical="center"/>
    </xf>
    <xf numFmtId="4" fontId="8" fillId="0" borderId="1" xfId="0" applyNumberFormat="1" applyFont="1" applyBorder="1" applyAlignment="1">
      <alignment horizontal="right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wrapText="1"/>
    </xf>
    <xf numFmtId="0" fontId="8" fillId="0" borderId="1" xfId="0" applyNumberFormat="1" applyFont="1" applyFill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wrapText="1"/>
    </xf>
    <xf numFmtId="3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top" wrapText="1"/>
    </xf>
    <xf numFmtId="0" fontId="23" fillId="0" borderId="1" xfId="0" applyFont="1" applyBorder="1" applyAlignment="1">
      <alignment horizontal="left" wrapText="1"/>
    </xf>
    <xf numFmtId="49" fontId="1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175" fontId="8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 wrapText="1"/>
    </xf>
    <xf numFmtId="39" fontId="8" fillId="2" borderId="1" xfId="0" applyNumberFormat="1" applyFont="1" applyFill="1" applyBorder="1" applyAlignment="1">
      <alignment horizontal="right"/>
    </xf>
    <xf numFmtId="39" fontId="7" fillId="0" borderId="1" xfId="0" applyNumberFormat="1" applyFont="1" applyBorder="1" applyAlignment="1">
      <alignment horizontal="right"/>
    </xf>
    <xf numFmtId="4" fontId="7" fillId="0" borderId="1" xfId="0" applyNumberFormat="1" applyFont="1" applyBorder="1"/>
    <xf numFmtId="39" fontId="8" fillId="0" borderId="1" xfId="0" applyNumberFormat="1" applyFont="1" applyBorder="1" applyAlignment="1">
      <alignment horizontal="right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170" fontId="0" fillId="0" borderId="0" xfId="3" applyFont="1" applyFill="1" applyBorder="1" applyAlignment="1" applyProtection="1">
      <alignment horizontal="right" vertical="center"/>
    </xf>
    <xf numFmtId="0" fontId="35" fillId="3" borderId="1" xfId="0" applyFont="1" applyFill="1" applyBorder="1" applyAlignment="1">
      <alignment horizontal="center" vertical="center" wrapText="1"/>
    </xf>
    <xf numFmtId="170" fontId="35" fillId="3" borderId="1" xfId="3" applyFont="1" applyFill="1" applyBorder="1" applyAlignment="1" applyProtection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70" fontId="0" fillId="0" borderId="1" xfId="3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4" borderId="0" xfId="0" applyFont="1" applyFill="1" applyAlignment="1">
      <alignment vertical="center"/>
    </xf>
    <xf numFmtId="170" fontId="7" fillId="3" borderId="1" xfId="3" applyFont="1" applyFill="1" applyBorder="1" applyAlignment="1" applyProtection="1">
      <alignment horizontal="right" vertical="center"/>
    </xf>
    <xf numFmtId="0" fontId="11" fillId="0" borderId="0" xfId="0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 vertical="center" wrapText="1"/>
    </xf>
    <xf numFmtId="170" fontId="35" fillId="0" borderId="0" xfId="3" applyFont="1" applyFill="1" applyBorder="1" applyAlignment="1" applyProtection="1">
      <alignment horizontal="right" vertical="center"/>
    </xf>
    <xf numFmtId="0" fontId="0" fillId="0" borderId="0" xfId="0" applyFont="1" applyFill="1" applyBorder="1" applyAlignment="1">
      <alignment vertical="center"/>
    </xf>
    <xf numFmtId="170" fontId="0" fillId="0" borderId="1" xfId="3" applyFont="1" applyFill="1" applyBorder="1" applyAlignment="1" applyProtection="1">
      <alignment horizontal="right" vertical="center"/>
    </xf>
    <xf numFmtId="170" fontId="7" fillId="3" borderId="1" xfId="3" applyFont="1" applyFill="1" applyBorder="1" applyAlignment="1" applyProtection="1">
      <alignment horizontal="center" vertical="center" wrapText="1"/>
    </xf>
    <xf numFmtId="4" fontId="7" fillId="3" borderId="1" xfId="0" applyNumberFormat="1" applyFont="1" applyFill="1" applyBorder="1" applyAlignment="1">
      <alignment vertical="center"/>
    </xf>
    <xf numFmtId="0" fontId="36" fillId="3" borderId="1" xfId="0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/>
    </xf>
    <xf numFmtId="4" fontId="0" fillId="0" borderId="1" xfId="1" applyNumberFormat="1" applyFont="1" applyFill="1" applyBorder="1" applyAlignment="1" applyProtection="1">
      <alignment horizontal="right" vertical="center"/>
    </xf>
    <xf numFmtId="0" fontId="0" fillId="0" borderId="1" xfId="0" applyFont="1" applyFill="1" applyBorder="1" applyAlignment="1" applyProtection="1">
      <alignment horizontal="center" vertical="center"/>
      <protection locked="0"/>
    </xf>
    <xf numFmtId="4" fontId="7" fillId="3" borderId="1" xfId="1" applyNumberFormat="1" applyFont="1" applyFill="1" applyBorder="1" applyAlignment="1" applyProtection="1">
      <alignment horizontal="right" vertical="center"/>
    </xf>
    <xf numFmtId="4" fontId="7" fillId="3" borderId="1" xfId="3" applyNumberFormat="1" applyFont="1" applyFill="1" applyBorder="1" applyAlignment="1" applyProtection="1">
      <alignment horizontal="right" vertical="center"/>
    </xf>
    <xf numFmtId="0" fontId="34" fillId="3" borderId="1" xfId="0" applyFont="1" applyFill="1" applyBorder="1" applyAlignment="1">
      <alignment horizontal="center" vertical="center" wrapText="1"/>
    </xf>
    <xf numFmtId="1" fontId="0" fillId="0" borderId="1" xfId="0" applyNumberFormat="1" applyFont="1" applyFill="1" applyBorder="1" applyAlignment="1">
      <alignment horizontal="center" vertical="center"/>
    </xf>
    <xf numFmtId="4" fontId="0" fillId="0" borderId="1" xfId="3" applyNumberFormat="1" applyFont="1" applyFill="1" applyBorder="1" applyAlignment="1" applyProtection="1">
      <alignment horizontal="right" vertical="center"/>
    </xf>
    <xf numFmtId="0" fontId="10" fillId="0" borderId="1" xfId="0" applyNumberFormat="1" applyFont="1" applyFill="1" applyBorder="1" applyAlignment="1" applyProtection="1">
      <alignment horizontal="center" vertical="center"/>
      <protection locked="0"/>
    </xf>
    <xf numFmtId="4" fontId="10" fillId="0" borderId="1" xfId="3" applyNumberFormat="1" applyFont="1" applyFill="1" applyBorder="1" applyAlignment="1" applyProtection="1">
      <alignment horizontal="right" vertical="center"/>
    </xf>
    <xf numFmtId="4" fontId="11" fillId="3" borderId="1" xfId="3" applyNumberFormat="1" applyFont="1" applyFill="1" applyBorder="1" applyAlignment="1" applyProtection="1">
      <alignment horizontal="right" vertical="center"/>
    </xf>
    <xf numFmtId="0" fontId="36" fillId="3" borderId="1" xfId="0" applyFont="1" applyFill="1" applyBorder="1" applyAlignment="1">
      <alignment horizontal="center" vertical="center"/>
    </xf>
    <xf numFmtId="4" fontId="0" fillId="0" borderId="1" xfId="0" applyNumberFormat="1" applyFont="1" applyFill="1" applyBorder="1" applyAlignment="1">
      <alignment vertical="center"/>
    </xf>
    <xf numFmtId="4" fontId="7" fillId="0" borderId="0" xfId="0" applyNumberFormat="1" applyFont="1" applyFill="1" applyBorder="1" applyAlignment="1">
      <alignment vertical="center"/>
    </xf>
    <xf numFmtId="4" fontId="35" fillId="0" borderId="0" xfId="0" applyNumberFormat="1" applyFont="1" applyFill="1" applyBorder="1" applyAlignment="1">
      <alignment horizontal="right" vertical="center"/>
    </xf>
    <xf numFmtId="0" fontId="41" fillId="3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4" fontId="18" fillId="0" borderId="1" xfId="0" applyNumberFormat="1" applyFont="1" applyFill="1" applyBorder="1" applyAlignment="1">
      <alignment vertical="center"/>
    </xf>
    <xf numFmtId="170" fontId="10" fillId="0" borderId="1" xfId="3" applyFont="1" applyFill="1" applyBorder="1" applyAlignment="1" applyProtection="1">
      <alignment horizontal="right" vertical="center"/>
    </xf>
    <xf numFmtId="0" fontId="0" fillId="0" borderId="1" xfId="0" applyFont="1" applyFill="1" applyBorder="1" applyAlignment="1">
      <alignment vertical="center" wrapText="1"/>
    </xf>
    <xf numFmtId="0" fontId="10" fillId="0" borderId="0" xfId="0" applyFont="1" applyFill="1" applyAlignment="1">
      <alignment horizontal="justify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 wrapText="1"/>
    </xf>
    <xf numFmtId="0" fontId="37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 shrinkToFit="1"/>
    </xf>
    <xf numFmtId="4" fontId="0" fillId="0" borderId="1" xfId="3" applyNumberFormat="1" applyFont="1" applyFill="1" applyBorder="1" applyAlignment="1" applyProtection="1">
      <alignment horizontal="right" vertical="center" wrapText="1"/>
    </xf>
    <xf numFmtId="0" fontId="0" fillId="0" borderId="3" xfId="0" applyFont="1" applyFill="1" applyBorder="1" applyAlignment="1">
      <alignment wrapText="1"/>
    </xf>
    <xf numFmtId="0" fontId="0" fillId="0" borderId="0" xfId="0" applyFont="1" applyFill="1" applyAlignment="1">
      <alignment wrapText="1"/>
    </xf>
    <xf numFmtId="0" fontId="7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left" vertical="center" wrapText="1"/>
    </xf>
    <xf numFmtId="4" fontId="32" fillId="0" borderId="1" xfId="0" applyNumberFormat="1" applyFont="1" applyBorder="1" applyAlignment="1">
      <alignment horizontal="right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right" wrapText="1"/>
    </xf>
    <xf numFmtId="4" fontId="8" fillId="0" borderId="1" xfId="0" applyNumberFormat="1" applyFont="1" applyBorder="1" applyAlignment="1">
      <alignment horizontal="right" vertical="center" wrapText="1"/>
    </xf>
    <xf numFmtId="0" fontId="31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wrapText="1"/>
    </xf>
    <xf numFmtId="4" fontId="7" fillId="0" borderId="1" xfId="0" applyNumberFormat="1" applyFont="1" applyBorder="1" applyAlignment="1">
      <alignment horizontal="center" vertical="center"/>
    </xf>
    <xf numFmtId="39" fontId="7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right" wrapText="1"/>
    </xf>
    <xf numFmtId="4" fontId="8" fillId="2" borderId="1" xfId="0" applyNumberFormat="1" applyFont="1" applyFill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center"/>
    </xf>
    <xf numFmtId="4" fontId="7" fillId="0" borderId="1" xfId="0" applyNumberFormat="1" applyFont="1" applyBorder="1" applyAlignment="1">
      <alignment horizontal="right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/>
    </xf>
    <xf numFmtId="2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3" fontId="1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 wrapText="1"/>
    </xf>
    <xf numFmtId="0" fontId="13" fillId="0" borderId="1" xfId="0" applyFont="1" applyBorder="1" applyAlignment="1">
      <alignment horizontal="left" vertical="center"/>
    </xf>
    <xf numFmtId="0" fontId="7" fillId="5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49" fontId="18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3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right" vertical="center"/>
    </xf>
    <xf numFmtId="0" fontId="24" fillId="5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right" vertical="center" wrapText="1"/>
    </xf>
    <xf numFmtId="0" fontId="8" fillId="0" borderId="1" xfId="0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right" vertical="center" wrapText="1"/>
    </xf>
    <xf numFmtId="2" fontId="8" fillId="0" borderId="1" xfId="0" applyNumberFormat="1" applyFont="1" applyFill="1" applyBorder="1" applyAlignment="1">
      <alignment horizontal="right" vertical="center" wrapText="1"/>
    </xf>
    <xf numFmtId="2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right"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right" vertical="center"/>
    </xf>
    <xf numFmtId="0" fontId="14" fillId="0" borderId="1" xfId="0" applyFont="1" applyBorder="1" applyAlignment="1">
      <alignment horizontal="right" vertical="center" wrapText="1"/>
    </xf>
    <xf numFmtId="14" fontId="14" fillId="0" borderId="1" xfId="0" applyNumberFormat="1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right" vertical="center" wrapText="1"/>
    </xf>
    <xf numFmtId="0" fontId="0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right" vertical="center" wrapText="1"/>
    </xf>
    <xf numFmtId="2" fontId="7" fillId="0" borderId="1" xfId="0" applyNumberFormat="1" applyFont="1" applyFill="1" applyBorder="1" applyAlignment="1">
      <alignment horizontal="right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5" fillId="3" borderId="1" xfId="0" applyNumberFormat="1" applyFont="1" applyFill="1" applyBorder="1" applyAlignment="1">
      <alignment horizontal="right" vertical="center"/>
    </xf>
    <xf numFmtId="170" fontId="39" fillId="3" borderId="1" xfId="3" applyFont="1" applyFill="1" applyBorder="1" applyAlignment="1" applyProtection="1">
      <alignment horizontal="center" vertical="center"/>
    </xf>
    <xf numFmtId="0" fontId="40" fillId="3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/>
    </xf>
    <xf numFmtId="4" fontId="7" fillId="0" borderId="1" xfId="0" applyNumberFormat="1" applyFont="1" applyFill="1" applyBorder="1" applyAlignment="1">
      <alignment horizontal="center" vertical="center"/>
    </xf>
    <xf numFmtId="170" fontId="38" fillId="0" borderId="1" xfId="3" applyFont="1" applyFill="1" applyBorder="1" applyAlignment="1" applyProtection="1">
      <alignment horizontal="center" vertical="center"/>
    </xf>
    <xf numFmtId="4" fontId="7" fillId="3" borderId="1" xfId="0" applyNumberFormat="1" applyFont="1" applyFill="1" applyBorder="1" applyAlignment="1">
      <alignment horizontal="right" vertical="center"/>
    </xf>
    <xf numFmtId="4" fontId="0" fillId="0" borderId="1" xfId="0" applyNumberFormat="1" applyFont="1" applyFill="1" applyBorder="1" applyAlignment="1">
      <alignment horizontal="center" vertical="center"/>
    </xf>
    <xf numFmtId="4" fontId="0" fillId="0" borderId="1" xfId="0" applyNumberFormat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right" vertical="center"/>
    </xf>
    <xf numFmtId="0" fontId="36" fillId="3" borderId="1" xfId="0" applyFont="1" applyFill="1" applyBorder="1" applyAlignment="1">
      <alignment horizontal="center" vertical="center" wrapText="1"/>
    </xf>
    <xf numFmtId="0" fontId="36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right" vertical="center" wrapText="1"/>
    </xf>
    <xf numFmtId="0" fontId="11" fillId="3" borderId="1" xfId="0" applyFont="1" applyFill="1" applyBorder="1" applyAlignment="1">
      <alignment horizontal="right" vertical="center"/>
    </xf>
    <xf numFmtId="0" fontId="33" fillId="0" borderId="4" xfId="0" applyFont="1" applyBorder="1" applyAlignment="1">
      <alignment horizontal="center" vertical="center" wrapText="1"/>
    </xf>
    <xf numFmtId="0" fontId="34" fillId="0" borderId="5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justify" vertical="center" wrapText="1"/>
    </xf>
    <xf numFmtId="4" fontId="8" fillId="0" borderId="13" xfId="0" applyNumberFormat="1" applyFont="1" applyBorder="1" applyAlignment="1">
      <alignment horizontal="right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left" vertical="center" wrapText="1"/>
    </xf>
    <xf numFmtId="4" fontId="8" fillId="0" borderId="15" xfId="0" applyNumberFormat="1" applyFont="1" applyBorder="1" applyAlignment="1">
      <alignment horizontal="right" vertical="center" wrapText="1"/>
    </xf>
    <xf numFmtId="0" fontId="7" fillId="0" borderId="8" xfId="0" applyFont="1" applyFill="1" applyBorder="1" applyAlignment="1">
      <alignment horizontal="left" vertical="center" wrapText="1"/>
    </xf>
    <xf numFmtId="4" fontId="8" fillId="0" borderId="9" xfId="0" applyNumberFormat="1" applyFont="1" applyBorder="1" applyAlignment="1">
      <alignment horizontal="right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4" fontId="8" fillId="0" borderId="11" xfId="0" applyNumberFormat="1" applyFont="1" applyBorder="1" applyAlignment="1">
      <alignment horizontal="right" vertical="center" wrapText="1"/>
    </xf>
    <xf numFmtId="0" fontId="7" fillId="7" borderId="7" xfId="0" applyFont="1" applyFill="1" applyBorder="1" applyAlignment="1">
      <alignment horizontal="center" vertical="center" wrapText="1"/>
    </xf>
  </cellXfs>
  <cellStyles count="4">
    <cellStyle name="Moeda" xfId="1" builtinId="4"/>
    <cellStyle name="Normal" xfId="0" builtinId="0"/>
    <cellStyle name="Título 5" xfId="2"/>
    <cellStyle name="Vírgula" xfId="3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9900"/>
      <rgbColor rgb="00000080"/>
      <rgbColor rgb="00808000"/>
      <rgbColor rgb="00800080"/>
      <rgbColor rgb="00008080"/>
      <rgbColor rgb="00B2B2B2"/>
      <rgbColor rgb="00808080"/>
      <rgbColor rgb="009999FF"/>
      <rgbColor rgb="00ED1C24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2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43C330"/>
      <rgbColor rgb="00FFCC00"/>
      <rgbColor rgb="00FF9900"/>
      <rgbColor rgb="00FF3333"/>
      <rgbColor rgb="00666699"/>
      <rgbColor rgb="00969696"/>
      <rgbColor rgb="00003366"/>
      <rgbColor rgb="0018A303"/>
      <rgbColor rgb="00003300"/>
      <rgbColor rgb="00333300"/>
      <rgbColor rgb="00CE181E"/>
      <rgbColor rgb="00993366"/>
      <rgbColor rgb="001824CE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2"/>
  <sheetViews>
    <sheetView view="pageBreakPreview" topLeftCell="A118" zoomScale="110" zoomScaleSheetLayoutView="110" workbookViewId="0">
      <selection activeCell="J129" sqref="J129"/>
    </sheetView>
  </sheetViews>
  <sheetFormatPr defaultColWidth="11" defaultRowHeight="12.75" x14ac:dyDescent="0.2"/>
  <cols>
    <col min="1" max="1" width="12.5703125" customWidth="1"/>
    <col min="2" max="4" width="11" customWidth="1"/>
    <col min="5" max="5" width="16" customWidth="1"/>
    <col min="6" max="8" width="11" customWidth="1"/>
    <col min="9" max="9" width="12.42578125" customWidth="1"/>
  </cols>
  <sheetData>
    <row r="1" spans="1:10" ht="24.2" customHeight="1" x14ac:dyDescent="0.2">
      <c r="A1" s="227" t="s">
        <v>0</v>
      </c>
      <c r="B1" s="227"/>
      <c r="C1" s="227"/>
      <c r="D1" s="227"/>
      <c r="E1" s="227"/>
      <c r="F1" s="227"/>
      <c r="G1" s="227"/>
      <c r="H1" s="227"/>
      <c r="I1" s="227"/>
      <c r="J1" s="227"/>
    </row>
    <row r="2" spans="1:10" ht="46.5" customHeight="1" x14ac:dyDescent="0.2">
      <c r="A2" s="228" t="s">
        <v>1</v>
      </c>
      <c r="B2" s="228"/>
      <c r="C2" s="228"/>
      <c r="D2" s="228"/>
      <c r="E2" s="228"/>
      <c r="F2" s="228"/>
      <c r="G2" s="228"/>
      <c r="H2" s="228"/>
      <c r="I2" s="228"/>
      <c r="J2" s="228"/>
    </row>
    <row r="3" spans="1:10" ht="14.65" customHeight="1" x14ac:dyDescent="0.2">
      <c r="A3" s="134" t="s">
        <v>2</v>
      </c>
      <c r="B3" s="134"/>
      <c r="C3" s="134"/>
      <c r="D3" s="134"/>
      <c r="E3" s="134"/>
      <c r="F3" s="134"/>
      <c r="G3" s="134"/>
      <c r="H3" s="222" t="s">
        <v>3</v>
      </c>
      <c r="I3" s="222"/>
      <c r="J3" s="222"/>
    </row>
    <row r="4" spans="1:10" ht="14.65" customHeight="1" x14ac:dyDescent="0.2">
      <c r="A4" s="134" t="s">
        <v>4</v>
      </c>
      <c r="B4" s="134"/>
      <c r="C4" s="134"/>
      <c r="D4" s="134"/>
      <c r="E4" s="134"/>
      <c r="F4" s="134"/>
      <c r="G4" s="134"/>
      <c r="H4" s="222"/>
      <c r="I4" s="222"/>
      <c r="J4" s="222"/>
    </row>
    <row r="5" spans="1:10" ht="14.65" customHeight="1" x14ac:dyDescent="0.2">
      <c r="A5" s="134" t="s">
        <v>5</v>
      </c>
      <c r="B5" s="134"/>
      <c r="C5" s="134"/>
      <c r="D5" s="134"/>
      <c r="E5" s="134"/>
      <c r="F5" s="134"/>
      <c r="G5" s="134"/>
      <c r="H5" s="134"/>
      <c r="I5" s="134"/>
      <c r="J5" s="134"/>
    </row>
    <row r="6" spans="1:10" ht="16.149999999999999" customHeight="1" x14ac:dyDescent="0.2">
      <c r="A6" s="225" t="s">
        <v>6</v>
      </c>
      <c r="B6" s="225"/>
      <c r="C6" s="225"/>
      <c r="D6" s="225"/>
      <c r="E6" s="225"/>
      <c r="F6" s="225"/>
      <c r="G6" s="225"/>
      <c r="H6" s="225"/>
      <c r="I6" s="225"/>
      <c r="J6" s="225"/>
    </row>
    <row r="7" spans="1:10" ht="14.65" customHeight="1" x14ac:dyDescent="0.2">
      <c r="A7" s="1" t="s">
        <v>7</v>
      </c>
      <c r="B7" s="134" t="s">
        <v>8</v>
      </c>
      <c r="C7" s="134"/>
      <c r="D7" s="134"/>
      <c r="E7" s="134"/>
      <c r="F7" s="134"/>
      <c r="G7" s="134"/>
      <c r="H7" s="226"/>
      <c r="I7" s="226"/>
      <c r="J7" s="226"/>
    </row>
    <row r="8" spans="1:10" ht="14.65" customHeight="1" x14ac:dyDescent="0.2">
      <c r="A8" s="1" t="s">
        <v>9</v>
      </c>
      <c r="B8" s="134" t="s">
        <v>10</v>
      </c>
      <c r="C8" s="134"/>
      <c r="D8" s="134"/>
      <c r="E8" s="134"/>
      <c r="F8" s="134"/>
      <c r="G8" s="134"/>
      <c r="H8" s="226" t="s">
        <v>11</v>
      </c>
      <c r="I8" s="226"/>
      <c r="J8" s="226"/>
    </row>
    <row r="9" spans="1:10" ht="39" customHeight="1" x14ac:dyDescent="0.2">
      <c r="A9" s="1" t="s">
        <v>12</v>
      </c>
      <c r="B9" s="134" t="s">
        <v>13</v>
      </c>
      <c r="C9" s="134"/>
      <c r="D9" s="134"/>
      <c r="E9" s="134"/>
      <c r="F9" s="134"/>
      <c r="G9" s="134"/>
      <c r="H9" s="221" t="s">
        <v>14</v>
      </c>
      <c r="I9" s="221"/>
      <c r="J9" s="221"/>
    </row>
    <row r="10" spans="1:10" ht="14.65" customHeight="1" x14ac:dyDescent="0.2">
      <c r="A10" s="1" t="s">
        <v>15</v>
      </c>
      <c r="B10" s="134" t="s">
        <v>16</v>
      </c>
      <c r="C10" s="134"/>
      <c r="D10" s="134"/>
      <c r="E10" s="134"/>
      <c r="F10" s="134"/>
      <c r="G10" s="134"/>
      <c r="H10" s="222">
        <v>20</v>
      </c>
      <c r="I10" s="222"/>
      <c r="J10" s="222"/>
    </row>
    <row r="11" spans="1:10" ht="16.149999999999999" customHeight="1" x14ac:dyDescent="0.2">
      <c r="A11" s="223" t="s">
        <v>17</v>
      </c>
      <c r="B11" s="223"/>
      <c r="C11" s="223"/>
      <c r="D11" s="223"/>
      <c r="E11" s="223"/>
      <c r="F11" s="223"/>
      <c r="G11" s="223"/>
      <c r="H11" s="223"/>
      <c r="I11" s="223"/>
      <c r="J11" s="223"/>
    </row>
    <row r="12" spans="1:10" ht="51" customHeight="1" x14ac:dyDescent="0.2">
      <c r="A12" s="157" t="s">
        <v>18</v>
      </c>
      <c r="B12" s="157"/>
      <c r="C12" s="157"/>
      <c r="D12" s="157"/>
      <c r="E12" s="157"/>
      <c r="F12" s="157"/>
      <c r="G12" s="157" t="s">
        <v>19</v>
      </c>
      <c r="H12" s="157"/>
      <c r="I12" s="224" t="s">
        <v>20</v>
      </c>
      <c r="J12" s="224"/>
    </row>
    <row r="13" spans="1:10" ht="14.65" customHeight="1" x14ac:dyDescent="0.2">
      <c r="A13" s="165" t="s">
        <v>21</v>
      </c>
      <c r="B13" s="165"/>
      <c r="C13" s="165"/>
      <c r="D13" s="165"/>
      <c r="E13" s="165"/>
      <c r="F13" s="165"/>
      <c r="G13" s="216" t="s">
        <v>22</v>
      </c>
      <c r="H13" s="216"/>
      <c r="I13" s="220">
        <v>1329.6</v>
      </c>
      <c r="J13" s="220"/>
    </row>
    <row r="14" spans="1:10" ht="14.65" customHeight="1" x14ac:dyDescent="0.2">
      <c r="A14" s="165" t="s">
        <v>23</v>
      </c>
      <c r="B14" s="165"/>
      <c r="C14" s="165"/>
      <c r="D14" s="165"/>
      <c r="E14" s="165"/>
      <c r="F14" s="165"/>
      <c r="G14" s="216" t="s">
        <v>22</v>
      </c>
      <c r="H14" s="216"/>
      <c r="I14" s="220">
        <v>700</v>
      </c>
      <c r="J14" s="220"/>
    </row>
    <row r="15" spans="1:10" ht="14.65" customHeight="1" x14ac:dyDescent="0.2">
      <c r="A15" s="165" t="s">
        <v>24</v>
      </c>
      <c r="B15" s="165"/>
      <c r="C15" s="165"/>
      <c r="D15" s="165"/>
      <c r="E15" s="165"/>
      <c r="F15" s="165"/>
      <c r="G15" s="216" t="s">
        <v>22</v>
      </c>
      <c r="H15" s="216"/>
      <c r="I15" s="220">
        <v>215</v>
      </c>
      <c r="J15" s="220"/>
    </row>
    <row r="16" spans="1:10" ht="14.65" customHeight="1" x14ac:dyDescent="0.2">
      <c r="A16" s="165" t="s">
        <v>25</v>
      </c>
      <c r="B16" s="165"/>
      <c r="C16" s="165"/>
      <c r="D16" s="165" t="s">
        <v>26</v>
      </c>
      <c r="E16" s="165" t="s">
        <v>27</v>
      </c>
      <c r="F16" s="165" t="s">
        <v>28</v>
      </c>
      <c r="G16" s="216" t="s">
        <v>22</v>
      </c>
      <c r="H16" s="216"/>
      <c r="I16" s="220">
        <v>410</v>
      </c>
      <c r="J16" s="220"/>
    </row>
    <row r="17" spans="1:10" ht="12.75" customHeight="1" x14ac:dyDescent="0.2">
      <c r="A17" s="165" t="s">
        <v>29</v>
      </c>
      <c r="B17" s="165"/>
      <c r="C17" s="165"/>
      <c r="D17" s="165"/>
      <c r="E17" s="165"/>
      <c r="F17" s="165"/>
      <c r="G17" s="218" t="s">
        <v>22</v>
      </c>
      <c r="H17" s="218"/>
      <c r="I17" s="219">
        <v>160</v>
      </c>
      <c r="J17" s="219"/>
    </row>
    <row r="18" spans="1:10" ht="14.65" customHeight="1" x14ac:dyDescent="0.2">
      <c r="A18" s="217" t="s">
        <v>30</v>
      </c>
      <c r="B18" s="217"/>
      <c r="C18" s="217"/>
      <c r="D18" s="217"/>
      <c r="E18" s="217"/>
      <c r="F18" s="217"/>
      <c r="G18" s="217"/>
      <c r="H18" s="217"/>
      <c r="I18" s="149">
        <f>ROUND(I13+I14+I15+I16+I17,2)</f>
        <v>2814.6</v>
      </c>
      <c r="J18" s="149"/>
    </row>
    <row r="19" spans="1:10" ht="12.75" customHeight="1" x14ac:dyDescent="0.2">
      <c r="A19" s="186"/>
      <c r="B19" s="186"/>
      <c r="C19" s="186"/>
      <c r="D19" s="186"/>
      <c r="E19" s="186"/>
      <c r="F19" s="186"/>
      <c r="G19" s="186"/>
      <c r="H19" s="186"/>
      <c r="I19" s="186"/>
      <c r="J19" s="186"/>
    </row>
    <row r="20" spans="1:10" ht="14.65" customHeight="1" x14ac:dyDescent="0.2">
      <c r="A20" s="165" t="s">
        <v>31</v>
      </c>
      <c r="B20" s="165"/>
      <c r="C20" s="165"/>
      <c r="D20" s="165"/>
      <c r="E20" s="165"/>
      <c r="F20" s="165"/>
      <c r="G20" s="165"/>
      <c r="H20" s="137" t="s">
        <v>22</v>
      </c>
      <c r="I20" s="137"/>
      <c r="J20" s="48">
        <v>8000</v>
      </c>
    </row>
    <row r="21" spans="1:10" ht="14.65" customHeight="1" x14ac:dyDescent="0.2">
      <c r="A21" s="165" t="s">
        <v>32</v>
      </c>
      <c r="B21" s="165"/>
      <c r="C21" s="165"/>
      <c r="D21" s="165"/>
      <c r="E21" s="165"/>
      <c r="F21" s="165"/>
      <c r="G21" s="165"/>
      <c r="H21" s="216" t="s">
        <v>22</v>
      </c>
      <c r="I21" s="216"/>
      <c r="J21" s="48">
        <v>15000</v>
      </c>
    </row>
    <row r="22" spans="1:10" ht="14.65" customHeight="1" x14ac:dyDescent="0.2">
      <c r="A22" s="217" t="s">
        <v>33</v>
      </c>
      <c r="B22" s="217"/>
      <c r="C22" s="217"/>
      <c r="D22" s="217"/>
      <c r="E22" s="217"/>
      <c r="F22" s="217"/>
      <c r="G22" s="217"/>
      <c r="H22" s="217"/>
      <c r="I22" s="217"/>
      <c r="J22" s="4">
        <f>ROUND(J20+J21,2)</f>
        <v>23000</v>
      </c>
    </row>
    <row r="23" spans="1:10" ht="12.75" customHeight="1" x14ac:dyDescent="0.2">
      <c r="A23" s="186"/>
      <c r="B23" s="186"/>
      <c r="C23" s="186"/>
      <c r="D23" s="186"/>
      <c r="E23" s="186"/>
      <c r="F23" s="186"/>
      <c r="G23" s="186"/>
      <c r="H23" s="186"/>
      <c r="I23" s="186"/>
      <c r="J23" s="186"/>
    </row>
    <row r="24" spans="1:10" ht="14.65" customHeight="1" x14ac:dyDescent="0.2">
      <c r="A24" s="165" t="s">
        <v>34</v>
      </c>
      <c r="B24" s="165"/>
      <c r="C24" s="165"/>
      <c r="D24" s="165"/>
      <c r="E24" s="165"/>
      <c r="F24" s="165"/>
      <c r="G24" s="165"/>
      <c r="H24" s="216" t="s">
        <v>22</v>
      </c>
      <c r="I24" s="216"/>
      <c r="J24" s="48">
        <v>160</v>
      </c>
    </row>
    <row r="25" spans="1:10" ht="14.65" customHeight="1" x14ac:dyDescent="0.2">
      <c r="A25" s="165" t="s">
        <v>35</v>
      </c>
      <c r="B25" s="165"/>
      <c r="C25" s="165"/>
      <c r="D25" s="165"/>
      <c r="E25" s="165"/>
      <c r="F25" s="165"/>
      <c r="G25" s="165"/>
      <c r="H25" s="216" t="s">
        <v>22</v>
      </c>
      <c r="I25" s="216"/>
      <c r="J25" s="48">
        <v>380</v>
      </c>
    </row>
    <row r="26" spans="1:10" ht="14.65" customHeight="1" x14ac:dyDescent="0.2">
      <c r="A26" s="165" t="s">
        <v>36</v>
      </c>
      <c r="B26" s="165"/>
      <c r="C26" s="165"/>
      <c r="D26" s="165"/>
      <c r="E26" s="165"/>
      <c r="F26" s="165"/>
      <c r="G26" s="165"/>
      <c r="H26" s="216" t="s">
        <v>22</v>
      </c>
      <c r="I26" s="216"/>
      <c r="J26" s="48">
        <v>380</v>
      </c>
    </row>
    <row r="27" spans="1:10" x14ac:dyDescent="0.2">
      <c r="A27" s="214" t="s">
        <v>37</v>
      </c>
      <c r="B27" s="214"/>
      <c r="C27" s="214"/>
      <c r="D27" s="214"/>
      <c r="E27" s="214"/>
      <c r="F27" s="214"/>
      <c r="G27" s="214"/>
      <c r="H27" s="214"/>
      <c r="I27" s="214"/>
      <c r="J27" s="4">
        <f>ROUND(J24+J25+J26,2)</f>
        <v>920</v>
      </c>
    </row>
    <row r="28" spans="1:10" x14ac:dyDescent="0.2">
      <c r="A28" s="186"/>
      <c r="B28" s="186"/>
      <c r="C28" s="186"/>
      <c r="D28" s="186"/>
      <c r="E28" s="186"/>
      <c r="F28" s="186"/>
      <c r="G28" s="186"/>
      <c r="H28" s="186"/>
      <c r="I28" s="186"/>
      <c r="J28" s="186"/>
    </row>
    <row r="29" spans="1:10" ht="14.65" customHeight="1" x14ac:dyDescent="0.2">
      <c r="A29" s="215" t="s">
        <v>38</v>
      </c>
      <c r="B29" s="215"/>
      <c r="C29" s="215"/>
      <c r="D29" s="215"/>
      <c r="E29" s="215"/>
      <c r="F29" s="215"/>
      <c r="G29" s="215"/>
      <c r="H29" s="215"/>
      <c r="I29" s="215"/>
      <c r="J29" s="5">
        <f>ROUND(I18+J22+J27,2)</f>
        <v>26734.6</v>
      </c>
    </row>
    <row r="30" spans="1:10" ht="12.75" customHeight="1" x14ac:dyDescent="0.2">
      <c r="A30" s="186"/>
      <c r="B30" s="186"/>
      <c r="C30" s="186"/>
      <c r="D30" s="186"/>
      <c r="E30" s="186"/>
      <c r="F30" s="186"/>
      <c r="G30" s="186"/>
      <c r="H30" s="186"/>
      <c r="I30" s="186"/>
      <c r="J30" s="186"/>
    </row>
    <row r="31" spans="1:10" ht="48.75" customHeight="1" x14ac:dyDescent="0.2">
      <c r="A31" s="212" t="s">
        <v>39</v>
      </c>
      <c r="B31" s="212"/>
      <c r="C31" s="212"/>
      <c r="D31" s="212"/>
      <c r="E31" s="212"/>
      <c r="F31" s="212"/>
      <c r="G31" s="212"/>
      <c r="H31" s="212"/>
      <c r="I31" s="212"/>
      <c r="J31" s="212"/>
    </row>
    <row r="32" spans="1:10" ht="12.75" customHeight="1" x14ac:dyDescent="0.2">
      <c r="A32" s="186"/>
      <c r="B32" s="186"/>
      <c r="C32" s="186"/>
      <c r="D32" s="186"/>
      <c r="E32" s="186"/>
      <c r="F32" s="186"/>
      <c r="G32" s="186"/>
      <c r="H32" s="186"/>
      <c r="I32" s="186"/>
      <c r="J32" s="186"/>
    </row>
    <row r="33" spans="1:10" ht="16.149999999999999" customHeight="1" x14ac:dyDescent="0.2">
      <c r="A33" s="198" t="s">
        <v>40</v>
      </c>
      <c r="B33" s="198"/>
      <c r="C33" s="198"/>
      <c r="D33" s="198"/>
      <c r="E33" s="198"/>
      <c r="F33" s="198"/>
      <c r="G33" s="198"/>
      <c r="H33" s="198"/>
      <c r="I33" s="198"/>
      <c r="J33" s="198"/>
    </row>
    <row r="34" spans="1:10" ht="16.149999999999999" customHeight="1" x14ac:dyDescent="0.2">
      <c r="A34" s="1">
        <v>1</v>
      </c>
      <c r="B34" s="134" t="s">
        <v>41</v>
      </c>
      <c r="C34" s="134"/>
      <c r="D34" s="134"/>
      <c r="E34" s="134"/>
      <c r="F34" s="134"/>
      <c r="G34" s="134"/>
      <c r="H34" s="210" t="s">
        <v>42</v>
      </c>
      <c r="I34" s="210"/>
      <c r="J34" s="210"/>
    </row>
    <row r="35" spans="1:10" ht="16.149999999999999" customHeight="1" x14ac:dyDescent="0.2">
      <c r="A35" s="1">
        <v>2</v>
      </c>
      <c r="B35" s="134" t="s">
        <v>43</v>
      </c>
      <c r="C35" s="134"/>
      <c r="D35" s="134"/>
      <c r="E35" s="134"/>
      <c r="F35" s="134"/>
      <c r="G35" s="134"/>
      <c r="H35" s="210" t="s">
        <v>44</v>
      </c>
      <c r="I35" s="210"/>
      <c r="J35" s="210"/>
    </row>
    <row r="36" spans="1:10" ht="16.149999999999999" customHeight="1" x14ac:dyDescent="0.2">
      <c r="A36" s="1">
        <v>3</v>
      </c>
      <c r="B36" s="134" t="s">
        <v>45</v>
      </c>
      <c r="C36" s="134"/>
      <c r="D36" s="134"/>
      <c r="E36" s="134"/>
      <c r="F36" s="134"/>
      <c r="G36" s="134"/>
      <c r="H36" s="213">
        <v>1314.09</v>
      </c>
      <c r="I36" s="213"/>
      <c r="J36" s="213"/>
    </row>
    <row r="37" spans="1:10" ht="16.149999999999999" customHeight="1" x14ac:dyDescent="0.2">
      <c r="A37" s="1">
        <v>4</v>
      </c>
      <c r="B37" s="134" t="s">
        <v>46</v>
      </c>
      <c r="C37" s="134"/>
      <c r="D37" s="134"/>
      <c r="E37" s="134"/>
      <c r="F37" s="134"/>
      <c r="G37" s="134"/>
      <c r="H37" s="210" t="s">
        <v>47</v>
      </c>
      <c r="I37" s="210"/>
      <c r="J37" s="210"/>
    </row>
    <row r="38" spans="1:10" ht="16.149999999999999" customHeight="1" x14ac:dyDescent="0.2">
      <c r="A38" s="1">
        <v>5</v>
      </c>
      <c r="B38" s="134" t="s">
        <v>48</v>
      </c>
      <c r="C38" s="134"/>
      <c r="D38" s="134"/>
      <c r="E38" s="134"/>
      <c r="F38" s="134"/>
      <c r="G38" s="134"/>
      <c r="H38" s="211">
        <v>44562</v>
      </c>
      <c r="I38" s="211"/>
      <c r="J38" s="211"/>
    </row>
    <row r="39" spans="1:10" ht="12.75" customHeight="1" x14ac:dyDescent="0.2">
      <c r="A39" s="186"/>
      <c r="B39" s="186"/>
      <c r="C39" s="186"/>
      <c r="D39" s="186"/>
      <c r="E39" s="186"/>
      <c r="F39" s="186"/>
      <c r="G39" s="186"/>
      <c r="H39" s="186"/>
      <c r="I39" s="186"/>
      <c r="J39" s="186"/>
    </row>
    <row r="40" spans="1:10" ht="20.65" customHeight="1" x14ac:dyDescent="0.2">
      <c r="A40" s="212" t="s">
        <v>49</v>
      </c>
      <c r="B40" s="212"/>
      <c r="C40" s="212"/>
      <c r="D40" s="212"/>
      <c r="E40" s="212"/>
      <c r="F40" s="212"/>
      <c r="G40" s="212"/>
      <c r="H40" s="212"/>
      <c r="I40" s="212"/>
      <c r="J40" s="212"/>
    </row>
    <row r="41" spans="1:10" ht="30.4" customHeight="1" x14ac:dyDescent="0.2">
      <c r="A41" s="6">
        <v>1</v>
      </c>
      <c r="B41" s="198" t="s">
        <v>50</v>
      </c>
      <c r="C41" s="198"/>
      <c r="D41" s="198"/>
      <c r="E41" s="198"/>
      <c r="F41" s="198"/>
      <c r="G41" s="198"/>
      <c r="H41" s="198" t="s">
        <v>51</v>
      </c>
      <c r="I41" s="198"/>
      <c r="J41" s="6" t="s">
        <v>52</v>
      </c>
    </row>
    <row r="42" spans="1:10" s="8" customFormat="1" ht="14.65" customHeight="1" x14ac:dyDescent="0.2">
      <c r="A42" s="1" t="s">
        <v>7</v>
      </c>
      <c r="B42" s="134" t="s">
        <v>53</v>
      </c>
      <c r="C42" s="134"/>
      <c r="D42" s="134"/>
      <c r="E42" s="134"/>
      <c r="F42" s="134"/>
      <c r="G42" s="134"/>
      <c r="H42" s="134"/>
      <c r="I42" s="134"/>
      <c r="J42" s="7">
        <f>H36/220*200</f>
        <v>1194.6272727272726</v>
      </c>
    </row>
    <row r="43" spans="1:10" ht="14.65" customHeight="1" x14ac:dyDescent="0.2">
      <c r="A43" s="1" t="s">
        <v>9</v>
      </c>
      <c r="B43" s="134" t="s">
        <v>54</v>
      </c>
      <c r="C43" s="134"/>
      <c r="D43" s="134"/>
      <c r="E43" s="134"/>
      <c r="F43" s="134"/>
      <c r="G43" s="134"/>
      <c r="H43" s="134"/>
      <c r="I43" s="9">
        <v>0.4</v>
      </c>
      <c r="J43" s="7">
        <f>ROUND(I43*J42,2)</f>
        <v>477.85</v>
      </c>
    </row>
    <row r="44" spans="1:10" ht="15.75" customHeight="1" x14ac:dyDescent="0.2">
      <c r="A44" s="199" t="s">
        <v>55</v>
      </c>
      <c r="B44" s="199"/>
      <c r="C44" s="199"/>
      <c r="D44" s="199"/>
      <c r="E44" s="199"/>
      <c r="F44" s="199"/>
      <c r="G44" s="199"/>
      <c r="H44" s="199"/>
      <c r="I44" s="199"/>
      <c r="J44" s="10">
        <f>SUM(J42:J43)</f>
        <v>1672.4772727272725</v>
      </c>
    </row>
    <row r="45" spans="1:10" ht="12.75" customHeight="1" x14ac:dyDescent="0.2">
      <c r="A45" s="186"/>
      <c r="B45" s="186"/>
      <c r="C45" s="186"/>
      <c r="D45" s="186"/>
      <c r="E45" s="186"/>
      <c r="F45" s="186"/>
      <c r="G45" s="186"/>
      <c r="H45" s="186"/>
      <c r="I45" s="186"/>
      <c r="J45" s="186"/>
    </row>
    <row r="46" spans="1:10" ht="16.149999999999999" customHeight="1" x14ac:dyDescent="0.2">
      <c r="A46" s="196" t="s">
        <v>56</v>
      </c>
      <c r="B46" s="196"/>
      <c r="C46" s="196"/>
      <c r="D46" s="196"/>
      <c r="E46" s="196"/>
      <c r="F46" s="196"/>
      <c r="G46" s="196"/>
      <c r="H46" s="196"/>
      <c r="I46" s="196"/>
      <c r="J46" s="196"/>
    </row>
    <row r="47" spans="1:10" ht="15" x14ac:dyDescent="0.2">
      <c r="A47" s="207" t="s">
        <v>57</v>
      </c>
      <c r="B47" s="207"/>
      <c r="C47" s="207"/>
      <c r="D47" s="207"/>
      <c r="E47" s="207"/>
      <c r="F47" s="207"/>
      <c r="G47" s="207"/>
      <c r="H47" s="207"/>
      <c r="I47" s="207"/>
      <c r="J47" s="207"/>
    </row>
    <row r="48" spans="1:10" ht="15" customHeight="1" x14ac:dyDescent="0.2">
      <c r="A48" s="11" t="s">
        <v>58</v>
      </c>
      <c r="B48" s="208" t="s">
        <v>59</v>
      </c>
      <c r="C48" s="208"/>
      <c r="D48" s="208"/>
      <c r="E48" s="208"/>
      <c r="F48" s="208"/>
      <c r="G48" s="208"/>
      <c r="H48" s="208"/>
      <c r="I48" s="208"/>
      <c r="J48" s="2" t="s">
        <v>60</v>
      </c>
    </row>
    <row r="49" spans="1:10" ht="27.6" customHeight="1" x14ac:dyDescent="0.2">
      <c r="A49" s="12" t="s">
        <v>7</v>
      </c>
      <c r="B49" s="191" t="s">
        <v>61</v>
      </c>
      <c r="C49" s="191"/>
      <c r="D49" s="191"/>
      <c r="E49" s="191"/>
      <c r="F49" s="191"/>
      <c r="G49" s="191"/>
      <c r="H49" s="191"/>
      <c r="I49" s="13">
        <v>8.3299999999999999E-2</v>
      </c>
      <c r="J49" s="14">
        <f>ROUND($J$44*I49,2)</f>
        <v>139.32</v>
      </c>
    </row>
    <row r="50" spans="1:10" ht="36.200000000000003" customHeight="1" x14ac:dyDescent="0.2">
      <c r="A50" s="12" t="s">
        <v>9</v>
      </c>
      <c r="B50" s="203" t="s">
        <v>62</v>
      </c>
      <c r="C50" s="203"/>
      <c r="D50" s="203"/>
      <c r="E50" s="203"/>
      <c r="F50" s="203"/>
      <c r="G50" s="203"/>
      <c r="H50" s="203"/>
      <c r="I50" s="15">
        <v>3.0249999999999999E-2</v>
      </c>
      <c r="J50" s="14">
        <f>ROUND($J$44*I50,2)</f>
        <v>50.59</v>
      </c>
    </row>
    <row r="51" spans="1:10" x14ac:dyDescent="0.2">
      <c r="A51" s="209" t="s">
        <v>63</v>
      </c>
      <c r="B51" s="209"/>
      <c r="C51" s="209"/>
      <c r="D51" s="209"/>
      <c r="E51" s="209"/>
      <c r="F51" s="209"/>
      <c r="G51" s="209"/>
      <c r="H51" s="209"/>
      <c r="I51" s="209"/>
      <c r="J51" s="16">
        <f>SUM(J49+J50)</f>
        <v>189.91</v>
      </c>
    </row>
    <row r="52" spans="1:10" x14ac:dyDescent="0.2">
      <c r="A52" s="17" t="s">
        <v>12</v>
      </c>
      <c r="B52" s="192" t="s">
        <v>64</v>
      </c>
      <c r="C52" s="192"/>
      <c r="D52" s="192"/>
      <c r="E52" s="192"/>
      <c r="F52" s="192"/>
      <c r="G52" s="192"/>
      <c r="H52" s="192"/>
      <c r="I52" s="192"/>
      <c r="J52" s="18">
        <f>ROUND(I65*J51,2)</f>
        <v>69.89</v>
      </c>
    </row>
    <row r="53" spans="1:10" x14ac:dyDescent="0.2">
      <c r="A53" s="193" t="s">
        <v>63</v>
      </c>
      <c r="B53" s="193"/>
      <c r="C53" s="193"/>
      <c r="D53" s="193"/>
      <c r="E53" s="193"/>
      <c r="F53" s="193"/>
      <c r="G53" s="193"/>
      <c r="H53" s="193"/>
      <c r="I53" s="193"/>
      <c r="J53" s="19">
        <f>J51+J52</f>
        <v>259.8</v>
      </c>
    </row>
    <row r="54" spans="1:10" ht="12.75" customHeight="1" x14ac:dyDescent="0.2">
      <c r="A54" s="186"/>
      <c r="B54" s="186"/>
      <c r="C54" s="186"/>
      <c r="D54" s="186"/>
      <c r="E54" s="186"/>
      <c r="F54" s="186"/>
      <c r="G54" s="186"/>
      <c r="H54" s="186"/>
      <c r="I54" s="186"/>
      <c r="J54" s="186"/>
    </row>
    <row r="55" spans="1:10" ht="30.4" customHeight="1" x14ac:dyDescent="0.2">
      <c r="A55" s="196" t="s">
        <v>65</v>
      </c>
      <c r="B55" s="196"/>
      <c r="C55" s="196"/>
      <c r="D55" s="196"/>
      <c r="E55" s="196"/>
      <c r="F55" s="196"/>
      <c r="G55" s="196"/>
      <c r="H55" s="196"/>
      <c r="I55" s="196"/>
      <c r="J55" s="196"/>
    </row>
    <row r="56" spans="1:10" ht="30.4" customHeight="1" x14ac:dyDescent="0.2">
      <c r="A56" s="20" t="s">
        <v>66</v>
      </c>
      <c r="B56" s="197" t="s">
        <v>67</v>
      </c>
      <c r="C56" s="197"/>
      <c r="D56" s="197"/>
      <c r="E56" s="197"/>
      <c r="F56" s="197"/>
      <c r="G56" s="197"/>
      <c r="H56" s="197"/>
      <c r="I56" s="6" t="s">
        <v>68</v>
      </c>
      <c r="J56" s="6" t="s">
        <v>69</v>
      </c>
    </row>
    <row r="57" spans="1:10" x14ac:dyDescent="0.2">
      <c r="A57" s="12" t="s">
        <v>7</v>
      </c>
      <c r="B57" s="192" t="s">
        <v>70</v>
      </c>
      <c r="C57" s="192"/>
      <c r="D57" s="192"/>
      <c r="E57" s="192"/>
      <c r="F57" s="192"/>
      <c r="G57" s="192"/>
      <c r="H57" s="192"/>
      <c r="I57" s="21">
        <v>0.2</v>
      </c>
      <c r="J57" s="22">
        <f t="shared" ref="J57:J64" si="0">ROUND($J$44*I57,2)</f>
        <v>334.5</v>
      </c>
    </row>
    <row r="58" spans="1:10" ht="12.75" customHeight="1" x14ac:dyDescent="0.2">
      <c r="A58" s="12" t="s">
        <v>9</v>
      </c>
      <c r="B58" s="192" t="s">
        <v>71</v>
      </c>
      <c r="C58" s="192"/>
      <c r="D58" s="192"/>
      <c r="E58" s="192"/>
      <c r="F58" s="192"/>
      <c r="G58" s="192"/>
      <c r="H58" s="192"/>
      <c r="I58" s="23">
        <v>2.5000000000000001E-2</v>
      </c>
      <c r="J58" s="22">
        <f t="shared" si="0"/>
        <v>41.81</v>
      </c>
    </row>
    <row r="59" spans="1:10" x14ac:dyDescent="0.2">
      <c r="A59" s="12" t="s">
        <v>12</v>
      </c>
      <c r="B59" s="192" t="s">
        <v>72</v>
      </c>
      <c r="C59" s="192"/>
      <c r="D59" s="192"/>
      <c r="E59" s="24" t="s">
        <v>73</v>
      </c>
      <c r="F59" s="25">
        <v>0.03</v>
      </c>
      <c r="G59" s="24" t="s">
        <v>74</v>
      </c>
      <c r="H59" s="26">
        <v>1</v>
      </c>
      <c r="I59" s="27">
        <f>ROUND((F59*H59),6)</f>
        <v>0.03</v>
      </c>
      <c r="J59" s="22">
        <f t="shared" si="0"/>
        <v>50.17</v>
      </c>
    </row>
    <row r="60" spans="1:10" x14ac:dyDescent="0.2">
      <c r="A60" s="12" t="s">
        <v>15</v>
      </c>
      <c r="B60" s="192" t="s">
        <v>75</v>
      </c>
      <c r="C60" s="192"/>
      <c r="D60" s="192"/>
      <c r="E60" s="192"/>
      <c r="F60" s="192"/>
      <c r="G60" s="192"/>
      <c r="H60" s="192"/>
      <c r="I60" s="21">
        <v>1.4999999999999999E-2</v>
      </c>
      <c r="J60" s="22">
        <f t="shared" si="0"/>
        <v>25.09</v>
      </c>
    </row>
    <row r="61" spans="1:10" x14ac:dyDescent="0.2">
      <c r="A61" s="12" t="s">
        <v>76</v>
      </c>
      <c r="B61" s="192" t="s">
        <v>77</v>
      </c>
      <c r="C61" s="192"/>
      <c r="D61" s="192"/>
      <c r="E61" s="192"/>
      <c r="F61" s="192"/>
      <c r="G61" s="192"/>
      <c r="H61" s="192"/>
      <c r="I61" s="21">
        <v>0.01</v>
      </c>
      <c r="J61" s="22">
        <f t="shared" si="0"/>
        <v>16.72</v>
      </c>
    </row>
    <row r="62" spans="1:10" x14ac:dyDescent="0.2">
      <c r="A62" s="12" t="s">
        <v>78</v>
      </c>
      <c r="B62" s="192" t="s">
        <v>79</v>
      </c>
      <c r="C62" s="192"/>
      <c r="D62" s="192"/>
      <c r="E62" s="192"/>
      <c r="F62" s="192"/>
      <c r="G62" s="192"/>
      <c r="H62" s="192"/>
      <c r="I62" s="23">
        <v>6.0000000000000001E-3</v>
      </c>
      <c r="J62" s="22">
        <f t="shared" si="0"/>
        <v>10.029999999999999</v>
      </c>
    </row>
    <row r="63" spans="1:10" x14ac:dyDescent="0.2">
      <c r="A63" s="12" t="s">
        <v>80</v>
      </c>
      <c r="B63" s="192" t="s">
        <v>81</v>
      </c>
      <c r="C63" s="192"/>
      <c r="D63" s="192"/>
      <c r="E63" s="192"/>
      <c r="F63" s="192"/>
      <c r="G63" s="192"/>
      <c r="H63" s="192"/>
      <c r="I63" s="21">
        <v>2E-3</v>
      </c>
      <c r="J63" s="22">
        <f t="shared" si="0"/>
        <v>3.34</v>
      </c>
    </row>
    <row r="64" spans="1:10" x14ac:dyDescent="0.2">
      <c r="A64" s="12" t="s">
        <v>82</v>
      </c>
      <c r="B64" s="192" t="s">
        <v>83</v>
      </c>
      <c r="C64" s="192"/>
      <c r="D64" s="192"/>
      <c r="E64" s="192"/>
      <c r="F64" s="192"/>
      <c r="G64" s="192"/>
      <c r="H64" s="192"/>
      <c r="I64" s="23">
        <v>0.08</v>
      </c>
      <c r="J64" s="22">
        <f t="shared" si="0"/>
        <v>133.80000000000001</v>
      </c>
    </row>
    <row r="65" spans="1:10" x14ac:dyDescent="0.2">
      <c r="A65" s="193" t="s">
        <v>63</v>
      </c>
      <c r="B65" s="193"/>
      <c r="C65" s="193"/>
      <c r="D65" s="193"/>
      <c r="E65" s="193"/>
      <c r="F65" s="193"/>
      <c r="G65" s="193"/>
      <c r="H65" s="193"/>
      <c r="I65" s="28">
        <f>SUM(I57:I64)</f>
        <v>0.36800000000000005</v>
      </c>
      <c r="J65" s="19">
        <f>SUM(J57:J64)</f>
        <v>615.45999999999992</v>
      </c>
    </row>
    <row r="66" spans="1:10" ht="12.75" customHeight="1" x14ac:dyDescent="0.2">
      <c r="A66" s="186"/>
      <c r="B66" s="186"/>
      <c r="C66" s="186"/>
      <c r="D66" s="186"/>
      <c r="E66" s="186"/>
      <c r="F66" s="186"/>
      <c r="G66" s="186"/>
      <c r="H66" s="186"/>
      <c r="I66" s="186"/>
      <c r="J66" s="186"/>
    </row>
    <row r="67" spans="1:10" ht="16.149999999999999" customHeight="1" x14ac:dyDescent="0.2">
      <c r="A67" s="196" t="s">
        <v>84</v>
      </c>
      <c r="B67" s="196"/>
      <c r="C67" s="196"/>
      <c r="D67" s="196"/>
      <c r="E67" s="196"/>
      <c r="F67" s="196"/>
      <c r="G67" s="196"/>
      <c r="H67" s="196"/>
      <c r="I67" s="196"/>
      <c r="J67" s="196"/>
    </row>
    <row r="68" spans="1:10" ht="16.149999999999999" customHeight="1" x14ac:dyDescent="0.2">
      <c r="A68" s="20" t="s">
        <v>85</v>
      </c>
      <c r="B68" s="197" t="s">
        <v>86</v>
      </c>
      <c r="C68" s="197"/>
      <c r="D68" s="197"/>
      <c r="E68" s="197"/>
      <c r="F68" s="197"/>
      <c r="G68" s="197"/>
      <c r="H68" s="197"/>
      <c r="I68" s="197"/>
      <c r="J68" s="6" t="s">
        <v>60</v>
      </c>
    </row>
    <row r="69" spans="1:10" x14ac:dyDescent="0.2">
      <c r="A69" s="12" t="s">
        <v>7</v>
      </c>
      <c r="B69" s="192" t="s">
        <v>87</v>
      </c>
      <c r="C69" s="192"/>
      <c r="D69" s="192"/>
      <c r="E69" s="192"/>
      <c r="F69" s="192"/>
      <c r="G69" s="192"/>
      <c r="H69" s="192"/>
      <c r="I69" s="192"/>
      <c r="J69" s="29">
        <f>IF(ROUND((I72*I70*I71)-(J42*0.06),2)&lt;0,0,ROUND((I72*I70*I71)-(J42*0.06),2))*1+(I70*I71*21.726-0.06*J42)*0</f>
        <v>96.32</v>
      </c>
    </row>
    <row r="70" spans="1:10" ht="22.5" customHeight="1" x14ac:dyDescent="0.2">
      <c r="A70" s="12"/>
      <c r="B70" s="195" t="s">
        <v>88</v>
      </c>
      <c r="C70" s="195"/>
      <c r="D70" s="195"/>
      <c r="E70" s="195"/>
      <c r="F70" s="195"/>
      <c r="G70" s="195"/>
      <c r="H70" s="195"/>
      <c r="I70" s="121">
        <v>4</v>
      </c>
      <c r="J70" s="30" t="s">
        <v>89</v>
      </c>
    </row>
    <row r="71" spans="1:10" x14ac:dyDescent="0.2">
      <c r="A71" s="12"/>
      <c r="B71" s="206" t="s">
        <v>90</v>
      </c>
      <c r="C71" s="206"/>
      <c r="D71" s="206"/>
      <c r="E71" s="206"/>
      <c r="F71" s="206"/>
      <c r="G71" s="206"/>
      <c r="H71" s="206"/>
      <c r="I71" s="31">
        <v>2</v>
      </c>
      <c r="J71" s="30"/>
    </row>
    <row r="72" spans="1:10" x14ac:dyDescent="0.2">
      <c r="A72" s="12"/>
      <c r="B72" s="206" t="s">
        <v>91</v>
      </c>
      <c r="C72" s="206"/>
      <c r="D72" s="206"/>
      <c r="E72" s="206"/>
      <c r="F72" s="206"/>
      <c r="G72" s="206"/>
      <c r="H72" s="206"/>
      <c r="I72" s="32">
        <v>21</v>
      </c>
      <c r="J72" s="30"/>
    </row>
    <row r="73" spans="1:10" x14ac:dyDescent="0.2">
      <c r="A73" s="12" t="s">
        <v>9</v>
      </c>
      <c r="B73" s="192" t="s">
        <v>92</v>
      </c>
      <c r="C73" s="192"/>
      <c r="D73" s="192"/>
      <c r="E73" s="192"/>
      <c r="F73" s="192"/>
      <c r="G73" s="192"/>
      <c r="H73" s="192"/>
      <c r="I73" s="192"/>
      <c r="J73" s="29">
        <f>ROUND(I75*I74*(1-0.19),2)*1+ROUND(21.726*6*(1-0.19),2)*0</f>
        <v>343.26</v>
      </c>
    </row>
    <row r="74" spans="1:10" x14ac:dyDescent="0.2">
      <c r="A74" s="12"/>
      <c r="B74" s="206" t="s">
        <v>326</v>
      </c>
      <c r="C74" s="206"/>
      <c r="D74" s="206"/>
      <c r="E74" s="206"/>
      <c r="F74" s="206"/>
      <c r="G74" s="206"/>
      <c r="H74" s="206"/>
      <c r="I74" s="121">
        <v>20.18</v>
      </c>
      <c r="J74" s="30" t="s">
        <v>89</v>
      </c>
    </row>
    <row r="75" spans="1:10" ht="12.75" customHeight="1" x14ac:dyDescent="0.2">
      <c r="A75" s="33"/>
      <c r="B75" s="206" t="s">
        <v>93</v>
      </c>
      <c r="C75" s="206"/>
      <c r="D75" s="206"/>
      <c r="E75" s="206"/>
      <c r="F75" s="206"/>
      <c r="G75" s="206"/>
      <c r="H75" s="206"/>
      <c r="I75" s="34">
        <v>21</v>
      </c>
      <c r="J75" s="30"/>
    </row>
    <row r="76" spans="1:10" ht="27.6" customHeight="1" x14ac:dyDescent="0.2">
      <c r="A76" s="12" t="s">
        <v>12</v>
      </c>
      <c r="B76" s="191" t="s">
        <v>94</v>
      </c>
      <c r="C76" s="191"/>
      <c r="D76" s="191"/>
      <c r="E76" s="191"/>
      <c r="F76" s="191"/>
      <c r="G76" s="191"/>
      <c r="H76" s="191"/>
      <c r="I76" s="191"/>
      <c r="J76" s="29">
        <f>ROUND(0.001068*7000,2)</f>
        <v>7.48</v>
      </c>
    </row>
    <row r="77" spans="1:10" ht="27.6" customHeight="1" x14ac:dyDescent="0.2">
      <c r="A77" s="12" t="s">
        <v>15</v>
      </c>
      <c r="B77" s="191" t="s">
        <v>327</v>
      </c>
      <c r="C77" s="191"/>
      <c r="D77" s="191"/>
      <c r="E77" s="191"/>
      <c r="F77" s="191"/>
      <c r="G77" s="191"/>
      <c r="H77" s="191"/>
      <c r="I77" s="191"/>
      <c r="J77" s="35">
        <v>17.32</v>
      </c>
    </row>
    <row r="78" spans="1:10" x14ac:dyDescent="0.2">
      <c r="A78" s="193" t="s">
        <v>55</v>
      </c>
      <c r="B78" s="193"/>
      <c r="C78" s="193"/>
      <c r="D78" s="193"/>
      <c r="E78" s="193"/>
      <c r="F78" s="193"/>
      <c r="G78" s="193"/>
      <c r="H78" s="193"/>
      <c r="I78" s="193"/>
      <c r="J78" s="19">
        <f>SUM(J69:J77)</f>
        <v>464.38</v>
      </c>
    </row>
    <row r="79" spans="1:10" ht="12.75" customHeight="1" x14ac:dyDescent="0.2">
      <c r="A79" s="186"/>
      <c r="B79" s="186"/>
      <c r="C79" s="186"/>
      <c r="D79" s="186"/>
      <c r="E79" s="186"/>
      <c r="F79" s="186"/>
      <c r="G79" s="186"/>
      <c r="H79" s="186"/>
      <c r="I79" s="186"/>
      <c r="J79" s="186"/>
    </row>
    <row r="80" spans="1:10" ht="16.149999999999999" customHeight="1" x14ac:dyDescent="0.2">
      <c r="A80" s="196" t="s">
        <v>95</v>
      </c>
      <c r="B80" s="196"/>
      <c r="C80" s="196"/>
      <c r="D80" s="196"/>
      <c r="E80" s="196"/>
      <c r="F80" s="196"/>
      <c r="G80" s="196"/>
      <c r="H80" s="196"/>
      <c r="I80" s="196"/>
      <c r="J80" s="196"/>
    </row>
    <row r="81" spans="1:10" ht="16.149999999999999" customHeight="1" x14ac:dyDescent="0.2">
      <c r="A81" s="6">
        <v>2</v>
      </c>
      <c r="B81" s="198" t="s">
        <v>96</v>
      </c>
      <c r="C81" s="198"/>
      <c r="D81" s="198"/>
      <c r="E81" s="198"/>
      <c r="F81" s="198"/>
      <c r="G81" s="198"/>
      <c r="H81" s="198"/>
      <c r="I81" s="198"/>
      <c r="J81" s="6" t="s">
        <v>60</v>
      </c>
    </row>
    <row r="82" spans="1:10" ht="14.65" customHeight="1" x14ac:dyDescent="0.2">
      <c r="A82" s="36" t="s">
        <v>58</v>
      </c>
      <c r="B82" s="36"/>
      <c r="C82" s="204" t="s">
        <v>97</v>
      </c>
      <c r="D82" s="204"/>
      <c r="E82" s="204"/>
      <c r="F82" s="204"/>
      <c r="G82" s="204"/>
      <c r="H82" s="204"/>
      <c r="I82" s="204"/>
      <c r="J82" s="37">
        <f>J53</f>
        <v>259.8</v>
      </c>
    </row>
    <row r="83" spans="1:10" ht="14.65" customHeight="1" x14ac:dyDescent="0.2">
      <c r="A83" s="36" t="s">
        <v>66</v>
      </c>
      <c r="B83" s="36"/>
      <c r="C83" s="204" t="s">
        <v>67</v>
      </c>
      <c r="D83" s="204"/>
      <c r="E83" s="204"/>
      <c r="F83" s="204"/>
      <c r="G83" s="204"/>
      <c r="H83" s="204"/>
      <c r="I83" s="204"/>
      <c r="J83" s="37">
        <f>J65</f>
        <v>615.45999999999992</v>
      </c>
    </row>
    <row r="84" spans="1:10" ht="14.65" customHeight="1" x14ac:dyDescent="0.2">
      <c r="A84" s="36" t="s">
        <v>85</v>
      </c>
      <c r="B84" s="36"/>
      <c r="C84" s="204" t="s">
        <v>86</v>
      </c>
      <c r="D84" s="204"/>
      <c r="E84" s="204"/>
      <c r="F84" s="204"/>
      <c r="G84" s="204"/>
      <c r="H84" s="204"/>
      <c r="I84" s="204"/>
      <c r="J84" s="37">
        <f>J78</f>
        <v>464.38</v>
      </c>
    </row>
    <row r="85" spans="1:10" ht="14.65" customHeight="1" x14ac:dyDescent="0.2">
      <c r="A85" s="205" t="s">
        <v>63</v>
      </c>
      <c r="B85" s="205"/>
      <c r="C85" s="205"/>
      <c r="D85" s="205"/>
      <c r="E85" s="205"/>
      <c r="F85" s="205"/>
      <c r="G85" s="205"/>
      <c r="H85" s="205"/>
      <c r="I85" s="205"/>
      <c r="J85" s="38">
        <f>SUM(J82+J83+J84)</f>
        <v>1339.6399999999999</v>
      </c>
    </row>
    <row r="86" spans="1:10" ht="12.75" customHeight="1" x14ac:dyDescent="0.2">
      <c r="A86" s="186"/>
      <c r="B86" s="186"/>
      <c r="C86" s="186"/>
      <c r="D86" s="186"/>
      <c r="E86" s="186"/>
      <c r="F86" s="186"/>
      <c r="G86" s="186"/>
      <c r="H86" s="186"/>
      <c r="I86" s="186"/>
      <c r="J86" s="186"/>
    </row>
    <row r="87" spans="1:10" ht="16.149999999999999" customHeight="1" x14ac:dyDescent="0.2">
      <c r="A87" s="196" t="s">
        <v>98</v>
      </c>
      <c r="B87" s="196"/>
      <c r="C87" s="196"/>
      <c r="D87" s="196"/>
      <c r="E87" s="196"/>
      <c r="F87" s="196"/>
      <c r="G87" s="196"/>
      <c r="H87" s="196"/>
      <c r="I87" s="196"/>
      <c r="J87" s="196"/>
    </row>
    <row r="88" spans="1:10" ht="16.149999999999999" customHeight="1" x14ac:dyDescent="0.2">
      <c r="A88" s="20">
        <v>3</v>
      </c>
      <c r="B88" s="198" t="s">
        <v>99</v>
      </c>
      <c r="C88" s="198"/>
      <c r="D88" s="198"/>
      <c r="E88" s="198"/>
      <c r="F88" s="198"/>
      <c r="G88" s="198"/>
      <c r="H88" s="198"/>
      <c r="I88" s="198"/>
      <c r="J88" s="20" t="s">
        <v>100</v>
      </c>
    </row>
    <row r="89" spans="1:10" ht="46.5" customHeight="1" x14ac:dyDescent="0.2">
      <c r="A89" s="12" t="s">
        <v>7</v>
      </c>
      <c r="B89" s="191" t="s">
        <v>101</v>
      </c>
      <c r="C89" s="191"/>
      <c r="D89" s="191"/>
      <c r="E89" s="191"/>
      <c r="F89" s="191"/>
      <c r="G89" s="191"/>
      <c r="H89" s="191"/>
      <c r="I89" s="191"/>
      <c r="J89" s="22">
        <f>ROUND((($J$44/12)+($J$49/12)+($J$44/12/12)+($J$50/12))*(30/30)*0.05,2)</f>
        <v>8.34</v>
      </c>
    </row>
    <row r="90" spans="1:10" ht="14.65" customHeight="1" x14ac:dyDescent="0.2">
      <c r="A90" s="12" t="s">
        <v>9</v>
      </c>
      <c r="B90" s="191" t="s">
        <v>102</v>
      </c>
      <c r="C90" s="191"/>
      <c r="D90" s="191"/>
      <c r="E90" s="191"/>
      <c r="F90" s="191"/>
      <c r="G90" s="191"/>
      <c r="H90" s="191"/>
      <c r="I90" s="191"/>
      <c r="J90" s="22">
        <f>ROUND($J$89*I64,2)</f>
        <v>0.67</v>
      </c>
    </row>
    <row r="91" spans="1:10" ht="36.200000000000003" customHeight="1" x14ac:dyDescent="0.2">
      <c r="A91" s="12" t="s">
        <v>12</v>
      </c>
      <c r="B91" s="191" t="s">
        <v>103</v>
      </c>
      <c r="C91" s="191"/>
      <c r="D91" s="191"/>
      <c r="E91" s="191"/>
      <c r="F91" s="191"/>
      <c r="G91" s="191"/>
      <c r="H91" s="191"/>
      <c r="I91" s="39">
        <v>1.9E-3</v>
      </c>
      <c r="J91" s="22">
        <f>ROUND($J$44*I91,2)</f>
        <v>3.18</v>
      </c>
    </row>
    <row r="92" spans="1:10" ht="27.6" customHeight="1" x14ac:dyDescent="0.2">
      <c r="A92" s="12" t="s">
        <v>15</v>
      </c>
      <c r="B92" s="191" t="s">
        <v>325</v>
      </c>
      <c r="C92" s="191"/>
      <c r="D92" s="191"/>
      <c r="E92" s="191"/>
      <c r="F92" s="191"/>
      <c r="G92" s="191"/>
      <c r="H92" s="191"/>
      <c r="I92" s="191"/>
      <c r="J92" s="22">
        <f>ROUND(((($J$44/30)*7)/$H$10)*0.9,2)</f>
        <v>17.559999999999999</v>
      </c>
    </row>
    <row r="93" spans="1:10" ht="14.65" customHeight="1" x14ac:dyDescent="0.2">
      <c r="A93" s="12" t="s">
        <v>76</v>
      </c>
      <c r="B93" s="191" t="s">
        <v>104</v>
      </c>
      <c r="C93" s="191"/>
      <c r="D93" s="191"/>
      <c r="E93" s="191"/>
      <c r="F93" s="191"/>
      <c r="G93" s="191"/>
      <c r="H93" s="191"/>
      <c r="I93" s="191"/>
      <c r="J93" s="22">
        <f>ROUND($I$65*J92,2)</f>
        <v>6.46</v>
      </c>
    </row>
    <row r="94" spans="1:10" ht="36.200000000000003" customHeight="1" x14ac:dyDescent="0.2">
      <c r="A94" s="12" t="s">
        <v>78</v>
      </c>
      <c r="B94" s="191" t="s">
        <v>105</v>
      </c>
      <c r="C94" s="191"/>
      <c r="D94" s="191"/>
      <c r="E94" s="191"/>
      <c r="F94" s="191"/>
      <c r="G94" s="191"/>
      <c r="H94" s="191"/>
      <c r="I94" s="39">
        <v>3.8100000000000002E-2</v>
      </c>
      <c r="J94" s="22">
        <f>ROUND($J$44*I94,2)</f>
        <v>63.72</v>
      </c>
    </row>
    <row r="95" spans="1:10" x14ac:dyDescent="0.2">
      <c r="A95" s="193" t="s">
        <v>63</v>
      </c>
      <c r="B95" s="193"/>
      <c r="C95" s="193"/>
      <c r="D95" s="193"/>
      <c r="E95" s="193"/>
      <c r="F95" s="193"/>
      <c r="G95" s="193"/>
      <c r="H95" s="193"/>
      <c r="I95" s="193"/>
      <c r="J95" s="19">
        <f>SUM(J89:J94)</f>
        <v>99.93</v>
      </c>
    </row>
    <row r="96" spans="1:10" ht="12.75" customHeight="1" x14ac:dyDescent="0.2">
      <c r="A96" s="186"/>
      <c r="B96" s="186"/>
      <c r="C96" s="186"/>
      <c r="D96" s="186"/>
      <c r="E96" s="186"/>
      <c r="F96" s="186"/>
      <c r="G96" s="186"/>
      <c r="H96" s="186"/>
      <c r="I96" s="186"/>
      <c r="J96" s="186"/>
    </row>
    <row r="97" spans="1:10" ht="16.149999999999999" customHeight="1" x14ac:dyDescent="0.2">
      <c r="A97" s="196" t="s">
        <v>106</v>
      </c>
      <c r="B97" s="196"/>
      <c r="C97" s="196"/>
      <c r="D97" s="196"/>
      <c r="E97" s="196"/>
      <c r="F97" s="196"/>
      <c r="G97" s="196"/>
      <c r="H97" s="196"/>
      <c r="I97" s="196"/>
      <c r="J97" s="196"/>
    </row>
    <row r="98" spans="1:10" ht="27" customHeight="1" x14ac:dyDescent="0.2">
      <c r="A98" s="202" t="s">
        <v>107</v>
      </c>
      <c r="B98" s="202"/>
      <c r="C98" s="202"/>
      <c r="D98" s="202"/>
      <c r="E98" s="202"/>
      <c r="F98" s="202"/>
      <c r="G98" s="202"/>
      <c r="H98" s="202"/>
      <c r="I98" s="202"/>
      <c r="J98" s="40">
        <f>J101+J44+J49+J50</f>
        <v>2014.1672727272723</v>
      </c>
    </row>
    <row r="99" spans="1:10" ht="14.65" customHeight="1" x14ac:dyDescent="0.2">
      <c r="A99" s="203"/>
      <c r="B99" s="203"/>
      <c r="C99" s="203"/>
      <c r="D99" s="203"/>
      <c r="E99" s="203"/>
      <c r="F99" s="203"/>
      <c r="G99" s="203"/>
      <c r="H99" s="203"/>
      <c r="I99" s="203"/>
      <c r="J99" s="203"/>
    </row>
    <row r="100" spans="1:10" ht="15" customHeight="1" x14ac:dyDescent="0.25">
      <c r="A100" s="41" t="s">
        <v>108</v>
      </c>
      <c r="B100" s="197" t="s">
        <v>109</v>
      </c>
      <c r="C100" s="197"/>
      <c r="D100" s="197"/>
      <c r="E100" s="197"/>
      <c r="F100" s="197"/>
      <c r="G100" s="197"/>
      <c r="H100" s="197"/>
      <c r="I100" s="197"/>
      <c r="J100" s="41" t="s">
        <v>60</v>
      </c>
    </row>
    <row r="101" spans="1:10" ht="12.75" customHeight="1" x14ac:dyDescent="0.2">
      <c r="A101" s="17" t="s">
        <v>7</v>
      </c>
      <c r="B101" s="191" t="s">
        <v>110</v>
      </c>
      <c r="C101" s="191"/>
      <c r="D101" s="191"/>
      <c r="E101" s="191"/>
      <c r="F101" s="191"/>
      <c r="G101" s="191"/>
      <c r="H101" s="191"/>
      <c r="I101" s="15">
        <v>9.0749999999999997E-2</v>
      </c>
      <c r="J101" s="22">
        <f>ROUND(($J$44*I101),2)</f>
        <v>151.78</v>
      </c>
    </row>
    <row r="102" spans="1:10" x14ac:dyDescent="0.2">
      <c r="A102" s="17" t="s">
        <v>9</v>
      </c>
      <c r="B102" s="192" t="s">
        <v>111</v>
      </c>
      <c r="C102" s="192"/>
      <c r="D102" s="192"/>
      <c r="E102" s="192"/>
      <c r="F102" s="192"/>
      <c r="G102" s="192"/>
      <c r="H102" s="192"/>
      <c r="I102" s="192"/>
      <c r="J102" s="42">
        <f>ROUND((($J$98/30)*2.96)/12,2)</f>
        <v>16.559999999999999</v>
      </c>
    </row>
    <row r="103" spans="1:10" x14ac:dyDescent="0.2">
      <c r="A103" s="17" t="s">
        <v>12</v>
      </c>
      <c r="B103" s="192" t="s">
        <v>112</v>
      </c>
      <c r="C103" s="192"/>
      <c r="D103" s="192"/>
      <c r="E103" s="192"/>
      <c r="F103" s="192"/>
      <c r="G103" s="192"/>
      <c r="H103" s="192"/>
      <c r="I103" s="192"/>
      <c r="J103" s="42">
        <f>ROUND((($J$98/30)*5)/12*0.015,2)</f>
        <v>0.42</v>
      </c>
    </row>
    <row r="104" spans="1:10" x14ac:dyDescent="0.2">
      <c r="A104" s="17" t="s">
        <v>15</v>
      </c>
      <c r="B104" s="192" t="s">
        <v>113</v>
      </c>
      <c r="C104" s="192"/>
      <c r="D104" s="192"/>
      <c r="E104" s="192"/>
      <c r="F104" s="192"/>
      <c r="G104" s="192"/>
      <c r="H104" s="192"/>
      <c r="I104" s="192"/>
      <c r="J104" s="18">
        <f>ROUND(((($J$98/30)*15)/12)*0.0078,2)</f>
        <v>0.65</v>
      </c>
    </row>
    <row r="105" spans="1:10" x14ac:dyDescent="0.2">
      <c r="A105" s="17" t="s">
        <v>76</v>
      </c>
      <c r="B105" s="192" t="s">
        <v>114</v>
      </c>
      <c r="C105" s="192"/>
      <c r="D105" s="192"/>
      <c r="E105" s="192"/>
      <c r="F105" s="192"/>
      <c r="G105" s="192"/>
      <c r="H105" s="192"/>
      <c r="I105" s="192"/>
      <c r="J105" s="43">
        <f>ROUND(((($J$44+$J$44/3)*4/12)/12)*0.02,2)</f>
        <v>1.24</v>
      </c>
    </row>
    <row r="106" spans="1:10" x14ac:dyDescent="0.2">
      <c r="A106" s="44" t="s">
        <v>78</v>
      </c>
      <c r="B106" s="201" t="s">
        <v>115</v>
      </c>
      <c r="C106" s="201"/>
      <c r="D106" s="201"/>
      <c r="E106" s="201"/>
      <c r="F106" s="201"/>
      <c r="G106" s="201"/>
      <c r="H106" s="201"/>
      <c r="I106" s="201"/>
      <c r="J106" s="18">
        <f>ROUND(((($J$98/30)*5)/12),2)</f>
        <v>27.97</v>
      </c>
    </row>
    <row r="107" spans="1:10" x14ac:dyDescent="0.2">
      <c r="A107" s="193" t="s">
        <v>63</v>
      </c>
      <c r="B107" s="193"/>
      <c r="C107" s="193"/>
      <c r="D107" s="193"/>
      <c r="E107" s="193"/>
      <c r="F107" s="193"/>
      <c r="G107" s="193"/>
      <c r="H107" s="193"/>
      <c r="I107" s="193"/>
      <c r="J107" s="45">
        <f>SUM(J101:J106)</f>
        <v>198.62</v>
      </c>
    </row>
    <row r="108" spans="1:10" ht="14.65" customHeight="1" x14ac:dyDescent="0.2">
      <c r="A108" s="17" t="s">
        <v>80</v>
      </c>
      <c r="B108" s="192" t="s">
        <v>116</v>
      </c>
      <c r="C108" s="192"/>
      <c r="D108" s="192"/>
      <c r="E108" s="192"/>
      <c r="F108" s="192"/>
      <c r="G108" s="192"/>
      <c r="H108" s="192"/>
      <c r="I108" s="192"/>
      <c r="J108" s="18">
        <f>ROUND(I65*J107,2)</f>
        <v>73.09</v>
      </c>
    </row>
    <row r="109" spans="1:10" ht="12.75" customHeight="1" x14ac:dyDescent="0.2">
      <c r="A109" s="193" t="s">
        <v>63</v>
      </c>
      <c r="B109" s="193"/>
      <c r="C109" s="193"/>
      <c r="D109" s="193"/>
      <c r="E109" s="193"/>
      <c r="F109" s="193"/>
      <c r="G109" s="193"/>
      <c r="H109" s="193"/>
      <c r="I109" s="193"/>
      <c r="J109" s="19">
        <f>SUM(J107:J108)</f>
        <v>271.71000000000004</v>
      </c>
    </row>
    <row r="110" spans="1:10" ht="16.149999999999999" customHeight="1" x14ac:dyDescent="0.2">
      <c r="A110" s="196" t="s">
        <v>117</v>
      </c>
      <c r="B110" s="196"/>
      <c r="C110" s="196"/>
      <c r="D110" s="196"/>
      <c r="E110" s="196"/>
      <c r="F110" s="196"/>
      <c r="G110" s="196"/>
      <c r="H110" s="196"/>
      <c r="I110" s="196"/>
      <c r="J110" s="196"/>
    </row>
    <row r="111" spans="1:10" ht="15" x14ac:dyDescent="0.2">
      <c r="A111" s="20" t="s">
        <v>118</v>
      </c>
      <c r="B111" s="197" t="s">
        <v>119</v>
      </c>
      <c r="C111" s="197"/>
      <c r="D111" s="197"/>
      <c r="E111" s="197"/>
      <c r="F111" s="197"/>
      <c r="G111" s="197"/>
      <c r="H111" s="197"/>
      <c r="I111" s="197"/>
      <c r="J111" s="46" t="s">
        <v>60</v>
      </c>
    </row>
    <row r="112" spans="1:10" x14ac:dyDescent="0.2">
      <c r="A112" s="12" t="s">
        <v>7</v>
      </c>
      <c r="B112" s="192" t="s">
        <v>120</v>
      </c>
      <c r="C112" s="192"/>
      <c r="D112" s="192"/>
      <c r="E112" s="192"/>
      <c r="F112" s="192"/>
      <c r="G112" s="192"/>
      <c r="H112" s="192"/>
      <c r="I112" s="192"/>
      <c r="J112" s="22">
        <v>0</v>
      </c>
    </row>
    <row r="113" spans="1:10" x14ac:dyDescent="0.2">
      <c r="A113" s="200" t="s">
        <v>63</v>
      </c>
      <c r="B113" s="200"/>
      <c r="C113" s="200"/>
      <c r="D113" s="200"/>
      <c r="E113" s="200"/>
      <c r="F113" s="200"/>
      <c r="G113" s="200"/>
      <c r="H113" s="200"/>
      <c r="I113" s="200"/>
      <c r="J113" s="22">
        <v>0</v>
      </c>
    </row>
    <row r="114" spans="1:10" x14ac:dyDescent="0.2">
      <c r="A114" s="17" t="s">
        <v>9</v>
      </c>
      <c r="B114" s="192" t="s">
        <v>121</v>
      </c>
      <c r="C114" s="192"/>
      <c r="D114" s="192"/>
      <c r="E114" s="192"/>
      <c r="F114" s="192"/>
      <c r="G114" s="192"/>
      <c r="H114" s="192"/>
      <c r="I114" s="192"/>
      <c r="J114" s="18">
        <f>ROUND(I65*J113,2)</f>
        <v>0</v>
      </c>
    </row>
    <row r="115" spans="1:10" x14ac:dyDescent="0.2">
      <c r="A115" s="193" t="s">
        <v>63</v>
      </c>
      <c r="B115" s="193"/>
      <c r="C115" s="193"/>
      <c r="D115" s="193"/>
      <c r="E115" s="193"/>
      <c r="F115" s="193"/>
      <c r="G115" s="193"/>
      <c r="H115" s="193"/>
      <c r="I115" s="193"/>
      <c r="J115" s="19">
        <f>SUM(J113:J114)</f>
        <v>0</v>
      </c>
    </row>
    <row r="116" spans="1:10" ht="12.75" customHeight="1" x14ac:dyDescent="0.2">
      <c r="A116" s="135"/>
      <c r="B116" s="135"/>
      <c r="C116" s="135"/>
      <c r="D116" s="135"/>
      <c r="E116" s="135"/>
      <c r="F116" s="135"/>
      <c r="G116" s="135"/>
      <c r="H116" s="135"/>
      <c r="I116" s="135"/>
      <c r="J116" s="135"/>
    </row>
    <row r="117" spans="1:10" ht="16.149999999999999" customHeight="1" x14ac:dyDescent="0.2">
      <c r="A117" s="196" t="s">
        <v>122</v>
      </c>
      <c r="B117" s="196"/>
      <c r="C117" s="196"/>
      <c r="D117" s="196"/>
      <c r="E117" s="196"/>
      <c r="F117" s="196"/>
      <c r="G117" s="196"/>
      <c r="H117" s="196"/>
      <c r="I117" s="196"/>
      <c r="J117" s="196"/>
    </row>
    <row r="118" spans="1:10" ht="16.149999999999999" customHeight="1" x14ac:dyDescent="0.2">
      <c r="A118" s="6">
        <v>4</v>
      </c>
      <c r="B118" s="198" t="s">
        <v>123</v>
      </c>
      <c r="C118" s="198"/>
      <c r="D118" s="198"/>
      <c r="E118" s="198"/>
      <c r="F118" s="198"/>
      <c r="G118" s="198"/>
      <c r="H118" s="198"/>
      <c r="I118" s="198"/>
      <c r="J118" s="46" t="s">
        <v>60</v>
      </c>
    </row>
    <row r="119" spans="1:10" ht="14.65" customHeight="1" x14ac:dyDescent="0.2">
      <c r="A119" s="47" t="s">
        <v>108</v>
      </c>
      <c r="B119" s="191" t="s">
        <v>109</v>
      </c>
      <c r="C119" s="191"/>
      <c r="D119" s="191"/>
      <c r="E119" s="191"/>
      <c r="F119" s="191"/>
      <c r="G119" s="191"/>
      <c r="H119" s="191"/>
      <c r="I119" s="191"/>
      <c r="J119" s="22">
        <f>J109</f>
        <v>271.71000000000004</v>
      </c>
    </row>
    <row r="120" spans="1:10" ht="14.65" customHeight="1" x14ac:dyDescent="0.2">
      <c r="A120" s="47" t="s">
        <v>124</v>
      </c>
      <c r="B120" s="191" t="s">
        <v>119</v>
      </c>
      <c r="C120" s="191"/>
      <c r="D120" s="191"/>
      <c r="E120" s="191"/>
      <c r="F120" s="191"/>
      <c r="G120" s="191"/>
      <c r="H120" s="191"/>
      <c r="I120" s="191"/>
      <c r="J120" s="22">
        <f>J115</f>
        <v>0</v>
      </c>
    </row>
    <row r="121" spans="1:10" ht="14.65" customHeight="1" x14ac:dyDescent="0.2">
      <c r="A121" s="199" t="s">
        <v>63</v>
      </c>
      <c r="B121" s="199"/>
      <c r="C121" s="199"/>
      <c r="D121" s="199"/>
      <c r="E121" s="199"/>
      <c r="F121" s="199"/>
      <c r="G121" s="199"/>
      <c r="H121" s="199"/>
      <c r="I121" s="199"/>
      <c r="J121" s="19">
        <f>SUM(J119+J120)</f>
        <v>271.71000000000004</v>
      </c>
    </row>
    <row r="122" spans="1:10" ht="12.75" customHeight="1" x14ac:dyDescent="0.2">
      <c r="A122" s="186"/>
      <c r="B122" s="186"/>
      <c r="C122" s="186"/>
      <c r="D122" s="186"/>
      <c r="E122" s="186"/>
      <c r="F122" s="186"/>
      <c r="G122" s="186"/>
      <c r="H122" s="186"/>
      <c r="I122" s="186"/>
      <c r="J122" s="186"/>
    </row>
    <row r="123" spans="1:10" ht="16.149999999999999" customHeight="1" x14ac:dyDescent="0.2">
      <c r="A123" s="196" t="s">
        <v>125</v>
      </c>
      <c r="B123" s="196"/>
      <c r="C123" s="196"/>
      <c r="D123" s="196"/>
      <c r="E123" s="196"/>
      <c r="F123" s="196"/>
      <c r="G123" s="196"/>
      <c r="H123" s="196"/>
      <c r="I123" s="196"/>
      <c r="J123" s="196"/>
    </row>
    <row r="124" spans="1:10" ht="16.149999999999999" customHeight="1" x14ac:dyDescent="0.2">
      <c r="A124" s="20">
        <v>5</v>
      </c>
      <c r="B124" s="197" t="s">
        <v>126</v>
      </c>
      <c r="C124" s="197"/>
      <c r="D124" s="197"/>
      <c r="E124" s="197"/>
      <c r="F124" s="197"/>
      <c r="G124" s="197"/>
      <c r="H124" s="197"/>
      <c r="I124" s="197"/>
      <c r="J124" s="20" t="s">
        <v>60</v>
      </c>
    </row>
    <row r="125" spans="1:10" x14ac:dyDescent="0.2">
      <c r="A125" s="12" t="s">
        <v>7</v>
      </c>
      <c r="B125" s="192" t="s">
        <v>127</v>
      </c>
      <c r="C125" s="192"/>
      <c r="D125" s="192"/>
      <c r="E125" s="192"/>
      <c r="F125" s="192"/>
      <c r="G125" s="192"/>
      <c r="H125" s="192"/>
      <c r="I125" s="192"/>
      <c r="J125" s="22">
        <f>INSUMOS!F95</f>
        <v>62.057000000000002</v>
      </c>
    </row>
    <row r="126" spans="1:10" x14ac:dyDescent="0.2">
      <c r="A126" s="12" t="s">
        <v>9</v>
      </c>
      <c r="B126" s="192" t="s">
        <v>128</v>
      </c>
      <c r="C126" s="192"/>
      <c r="D126" s="192"/>
      <c r="E126" s="192"/>
      <c r="F126" s="192"/>
      <c r="G126" s="192"/>
      <c r="H126" s="192"/>
      <c r="I126" s="192"/>
      <c r="J126" s="48">
        <f>INSUMOS!F91</f>
        <v>540.48159999999996</v>
      </c>
    </row>
    <row r="127" spans="1:10" x14ac:dyDescent="0.2">
      <c r="A127" s="12" t="s">
        <v>12</v>
      </c>
      <c r="B127" s="192" t="s">
        <v>129</v>
      </c>
      <c r="C127" s="192"/>
      <c r="D127" s="192"/>
      <c r="E127" s="192"/>
      <c r="F127" s="192"/>
      <c r="G127" s="192"/>
      <c r="H127" s="192"/>
      <c r="I127" s="192"/>
      <c r="J127" s="48">
        <f>INSUMOS!F93</f>
        <v>18.373966666666668</v>
      </c>
    </row>
    <row r="128" spans="1:10" x14ac:dyDescent="0.2">
      <c r="A128" s="12" t="s">
        <v>15</v>
      </c>
      <c r="B128" s="192" t="s">
        <v>130</v>
      </c>
      <c r="C128" s="192"/>
      <c r="D128" s="192"/>
      <c r="E128" s="192"/>
      <c r="F128" s="192"/>
      <c r="G128" s="192"/>
      <c r="H128" s="192"/>
      <c r="I128" s="192"/>
      <c r="J128" s="48" t="s">
        <v>131</v>
      </c>
    </row>
    <row r="129" spans="1:10" x14ac:dyDescent="0.2">
      <c r="A129" s="193" t="s">
        <v>55</v>
      </c>
      <c r="B129" s="193"/>
      <c r="C129" s="193"/>
      <c r="D129" s="193"/>
      <c r="E129" s="193"/>
      <c r="F129" s="193"/>
      <c r="G129" s="193"/>
      <c r="H129" s="193"/>
      <c r="I129" s="193"/>
      <c r="J129" s="49">
        <f>SUM(J125:J128)</f>
        <v>620.91256666666663</v>
      </c>
    </row>
    <row r="130" spans="1:10" ht="12.75" customHeight="1" x14ac:dyDescent="0.2">
      <c r="A130" s="186"/>
      <c r="B130" s="186"/>
      <c r="C130" s="186"/>
      <c r="D130" s="186"/>
      <c r="E130" s="186"/>
      <c r="F130" s="186"/>
      <c r="G130" s="186"/>
      <c r="H130" s="186"/>
      <c r="I130" s="186"/>
      <c r="J130" s="186"/>
    </row>
    <row r="131" spans="1:10" ht="16.149999999999999" customHeight="1" x14ac:dyDescent="0.2">
      <c r="A131" s="196" t="s">
        <v>132</v>
      </c>
      <c r="B131" s="196"/>
      <c r="C131" s="196"/>
      <c r="D131" s="196"/>
      <c r="E131" s="196"/>
      <c r="F131" s="196"/>
      <c r="G131" s="196"/>
      <c r="H131" s="196"/>
      <c r="I131" s="196"/>
      <c r="J131" s="196"/>
    </row>
    <row r="132" spans="1:10" ht="30" customHeight="1" x14ac:dyDescent="0.2">
      <c r="A132" s="20">
        <v>6</v>
      </c>
      <c r="B132" s="197" t="s">
        <v>133</v>
      </c>
      <c r="C132" s="197"/>
      <c r="D132" s="197"/>
      <c r="E132" s="197"/>
      <c r="F132" s="197"/>
      <c r="G132" s="197"/>
      <c r="H132" s="197"/>
      <c r="I132" s="6" t="s">
        <v>68</v>
      </c>
      <c r="J132" s="50" t="s">
        <v>134</v>
      </c>
    </row>
    <row r="133" spans="1:10" ht="12.75" customHeight="1" x14ac:dyDescent="0.2">
      <c r="A133" s="195" t="s">
        <v>135</v>
      </c>
      <c r="B133" s="195"/>
      <c r="C133" s="195"/>
      <c r="D133" s="195"/>
      <c r="E133" s="195"/>
      <c r="F133" s="195"/>
      <c r="G133" s="195"/>
      <c r="H133" s="195"/>
      <c r="I133" s="51" t="s">
        <v>89</v>
      </c>
      <c r="J133" s="52">
        <f>SUM(J44+J85+J95+J121+J129)</f>
        <v>4004.6698393939387</v>
      </c>
    </row>
    <row r="134" spans="1:10" ht="15.75" customHeight="1" x14ac:dyDescent="0.2">
      <c r="A134" s="53" t="s">
        <v>7</v>
      </c>
      <c r="B134" s="194" t="s">
        <v>136</v>
      </c>
      <c r="C134" s="194"/>
      <c r="D134" s="194"/>
      <c r="E134" s="194"/>
      <c r="F134" s="194"/>
      <c r="G134" s="194"/>
      <c r="H134" s="194"/>
      <c r="I134" s="54">
        <v>0.03</v>
      </c>
      <c r="J134" s="22">
        <f>ROUND(I134*J133,2)</f>
        <v>120.14</v>
      </c>
    </row>
    <row r="135" spans="1:10" ht="12.75" customHeight="1" x14ac:dyDescent="0.2">
      <c r="A135" s="195" t="s">
        <v>137</v>
      </c>
      <c r="B135" s="195"/>
      <c r="C135" s="195"/>
      <c r="D135" s="195"/>
      <c r="E135" s="195"/>
      <c r="F135" s="195"/>
      <c r="G135" s="195"/>
      <c r="H135" s="195"/>
      <c r="I135" s="55" t="s">
        <v>89</v>
      </c>
      <c r="J135" s="52">
        <f>SUM(J44+J85+J95+J121+J129+J134)</f>
        <v>4124.809839393939</v>
      </c>
    </row>
    <row r="136" spans="1:10" ht="15.75" customHeight="1" x14ac:dyDescent="0.2">
      <c r="A136" s="53" t="s">
        <v>9</v>
      </c>
      <c r="B136" s="194" t="s">
        <v>138</v>
      </c>
      <c r="C136" s="194"/>
      <c r="D136" s="194"/>
      <c r="E136" s="194"/>
      <c r="F136" s="194"/>
      <c r="G136" s="194"/>
      <c r="H136" s="194"/>
      <c r="I136" s="54">
        <v>6.7900000000000002E-2</v>
      </c>
      <c r="J136" s="22">
        <f>ROUND(I136*J135,2)</f>
        <v>280.07</v>
      </c>
    </row>
    <row r="137" spans="1:10" ht="12.75" customHeight="1" x14ac:dyDescent="0.2">
      <c r="A137" s="195" t="s">
        <v>139</v>
      </c>
      <c r="B137" s="195"/>
      <c r="C137" s="195"/>
      <c r="D137" s="195"/>
      <c r="E137" s="195"/>
      <c r="F137" s="195"/>
      <c r="G137" s="195"/>
      <c r="H137" s="195"/>
      <c r="I137" s="55" t="s">
        <v>89</v>
      </c>
      <c r="J137" s="52">
        <f>SUM(J44+J85+J95+J121+J129+J134+J136)</f>
        <v>4404.8798393939387</v>
      </c>
    </row>
    <row r="138" spans="1:10" ht="15.75" x14ac:dyDescent="0.2">
      <c r="A138" s="53" t="s">
        <v>12</v>
      </c>
      <c r="B138" s="194" t="s">
        <v>140</v>
      </c>
      <c r="C138" s="194"/>
      <c r="D138" s="194"/>
      <c r="E138" s="194"/>
      <c r="F138" s="194"/>
      <c r="G138" s="194"/>
      <c r="H138" s="194"/>
      <c r="I138" s="56" t="s">
        <v>89</v>
      </c>
      <c r="J138" s="57" t="s">
        <v>89</v>
      </c>
    </row>
    <row r="139" spans="1:10" x14ac:dyDescent="0.2">
      <c r="A139" s="12"/>
      <c r="B139" s="192" t="s">
        <v>141</v>
      </c>
      <c r="C139" s="192"/>
      <c r="D139" s="192"/>
      <c r="E139" s="192"/>
      <c r="F139" s="192"/>
      <c r="G139" s="192"/>
      <c r="H139" s="192"/>
      <c r="I139" s="56" t="s">
        <v>89</v>
      </c>
      <c r="J139" s="57" t="s">
        <v>89</v>
      </c>
    </row>
    <row r="140" spans="1:10" x14ac:dyDescent="0.2">
      <c r="A140" s="12"/>
      <c r="B140" s="192" t="s">
        <v>142</v>
      </c>
      <c r="C140" s="192"/>
      <c r="D140" s="192"/>
      <c r="E140" s="192"/>
      <c r="F140" s="192"/>
      <c r="G140" s="192"/>
      <c r="H140" s="192"/>
      <c r="I140" s="58">
        <v>7.5999999999999998E-2</v>
      </c>
      <c r="J140" s="22">
        <f>ROUND(($J$137/(1-$I$149))*I140,2)</f>
        <v>377.21</v>
      </c>
    </row>
    <row r="141" spans="1:10" ht="12.75" customHeight="1" x14ac:dyDescent="0.2">
      <c r="A141" s="12"/>
      <c r="B141" s="192" t="s">
        <v>143</v>
      </c>
      <c r="C141" s="192"/>
      <c r="D141" s="192"/>
      <c r="E141" s="192"/>
      <c r="F141" s="192"/>
      <c r="G141" s="192"/>
      <c r="H141" s="192"/>
      <c r="I141" s="58">
        <v>1.6500000000000001E-2</v>
      </c>
      <c r="J141" s="22">
        <f>ROUND(($J$137/(1-$I$149))*I141,2)</f>
        <v>81.89</v>
      </c>
    </row>
    <row r="142" spans="1:10" ht="27.6" customHeight="1" x14ac:dyDescent="0.2">
      <c r="A142" s="12"/>
      <c r="B142" s="191" t="s">
        <v>144</v>
      </c>
      <c r="C142" s="191"/>
      <c r="D142" s="191"/>
      <c r="E142" s="191"/>
      <c r="F142" s="191"/>
      <c r="G142" s="191"/>
      <c r="H142" s="191"/>
      <c r="I142" s="59" t="s">
        <v>89</v>
      </c>
      <c r="J142" s="57" t="s">
        <v>89</v>
      </c>
    </row>
    <row r="143" spans="1:10" ht="27.6" customHeight="1" x14ac:dyDescent="0.2">
      <c r="A143" s="12"/>
      <c r="B143" s="191" t="s">
        <v>145</v>
      </c>
      <c r="C143" s="191"/>
      <c r="D143" s="191"/>
      <c r="E143" s="191"/>
      <c r="F143" s="191"/>
      <c r="G143" s="191"/>
      <c r="H143" s="191"/>
      <c r="I143" s="59" t="s">
        <v>89</v>
      </c>
      <c r="J143" s="57" t="s">
        <v>89</v>
      </c>
    </row>
    <row r="144" spans="1:10" x14ac:dyDescent="0.2">
      <c r="A144" s="12"/>
      <c r="B144" s="192" t="s">
        <v>146</v>
      </c>
      <c r="C144" s="192"/>
      <c r="D144" s="192"/>
      <c r="E144" s="192"/>
      <c r="F144" s="192"/>
      <c r="G144" s="192"/>
      <c r="H144" s="192"/>
      <c r="I144" s="59" t="s">
        <v>89</v>
      </c>
      <c r="J144" s="57" t="s">
        <v>89</v>
      </c>
    </row>
    <row r="145" spans="1:10" x14ac:dyDescent="0.2">
      <c r="A145" s="12"/>
      <c r="B145" s="192" t="s">
        <v>147</v>
      </c>
      <c r="C145" s="192"/>
      <c r="D145" s="192"/>
      <c r="E145" s="192"/>
      <c r="F145" s="192"/>
      <c r="G145" s="192"/>
      <c r="H145" s="192"/>
      <c r="I145" s="59" t="s">
        <v>89</v>
      </c>
      <c r="J145" s="57" t="s">
        <v>89</v>
      </c>
    </row>
    <row r="146" spans="1:10" x14ac:dyDescent="0.2">
      <c r="A146" s="12"/>
      <c r="B146" s="192" t="s">
        <v>148</v>
      </c>
      <c r="C146" s="192"/>
      <c r="D146" s="192"/>
      <c r="E146" s="192"/>
      <c r="F146" s="192"/>
      <c r="G146" s="192"/>
      <c r="H146" s="192"/>
      <c r="I146" s="58">
        <v>0.02</v>
      </c>
      <c r="J146" s="22">
        <f>ROUND(($J$137/(1-$I$149))*I146,2)</f>
        <v>99.26</v>
      </c>
    </row>
    <row r="147" spans="1:10" x14ac:dyDescent="0.2">
      <c r="A147" s="193" t="s">
        <v>63</v>
      </c>
      <c r="B147" s="193"/>
      <c r="C147" s="193"/>
      <c r="D147" s="193"/>
      <c r="E147" s="193"/>
      <c r="F147" s="193"/>
      <c r="G147" s="193"/>
      <c r="H147" s="193"/>
      <c r="I147" s="193"/>
      <c r="J147" s="19">
        <f>SUM(J134+J136+J140+J141+J146)</f>
        <v>958.56999999999994</v>
      </c>
    </row>
    <row r="148" spans="1:10" ht="12.75" customHeight="1" x14ac:dyDescent="0.2">
      <c r="A148" s="186"/>
      <c r="B148" s="186"/>
      <c r="C148" s="186"/>
      <c r="D148" s="186"/>
      <c r="E148" s="186"/>
      <c r="F148" s="186"/>
      <c r="G148" s="186"/>
      <c r="H148" s="186"/>
      <c r="I148" s="186"/>
      <c r="J148" s="186"/>
    </row>
    <row r="149" spans="1:10" ht="14.65" customHeight="1" x14ac:dyDescent="0.2">
      <c r="A149" s="175" t="s">
        <v>149</v>
      </c>
      <c r="B149" s="175"/>
      <c r="C149" s="175"/>
      <c r="D149" s="175"/>
      <c r="E149" s="175"/>
      <c r="F149" s="175"/>
      <c r="G149" s="175"/>
      <c r="H149" s="175"/>
      <c r="I149" s="60">
        <f>SUM(I140:I146)</f>
        <v>0.1125</v>
      </c>
      <c r="J149" s="61">
        <f>SUM(J140:J146)</f>
        <v>558.36</v>
      </c>
    </row>
    <row r="150" spans="1:10" x14ac:dyDescent="0.2">
      <c r="A150" s="189" t="s">
        <v>150</v>
      </c>
      <c r="B150" s="189"/>
      <c r="C150" s="189"/>
      <c r="D150" s="190" t="s">
        <v>151</v>
      </c>
      <c r="E150" s="190"/>
      <c r="F150" s="190"/>
      <c r="G150" s="190"/>
      <c r="H150" s="190"/>
      <c r="I150" s="190"/>
      <c r="J150" s="190"/>
    </row>
    <row r="151" spans="1:10" x14ac:dyDescent="0.2">
      <c r="A151" s="189"/>
      <c r="B151" s="189"/>
      <c r="C151" s="189"/>
      <c r="D151" s="190" t="s">
        <v>152</v>
      </c>
      <c r="E151" s="190"/>
      <c r="F151" s="190"/>
      <c r="G151" s="190"/>
      <c r="H151" s="190"/>
      <c r="I151" s="190"/>
      <c r="J151" s="190"/>
    </row>
    <row r="152" spans="1:10" x14ac:dyDescent="0.2">
      <c r="A152" s="189"/>
      <c r="B152" s="189"/>
      <c r="C152" s="189"/>
      <c r="D152" s="190" t="s">
        <v>153</v>
      </c>
      <c r="E152" s="190"/>
      <c r="F152" s="190"/>
      <c r="G152" s="190"/>
      <c r="H152" s="190"/>
      <c r="I152" s="190"/>
      <c r="J152" s="190"/>
    </row>
    <row r="153" spans="1:10" ht="12.75" customHeight="1" x14ac:dyDescent="0.2">
      <c r="A153" s="186"/>
      <c r="B153" s="186"/>
      <c r="C153" s="186"/>
      <c r="D153" s="186"/>
      <c r="E153" s="186"/>
      <c r="F153" s="186"/>
      <c r="G153" s="186"/>
      <c r="H153" s="186"/>
      <c r="I153" s="186"/>
      <c r="J153" s="186"/>
    </row>
    <row r="154" spans="1:10" ht="45.95" customHeight="1" x14ac:dyDescent="0.2">
      <c r="A154" s="187" t="s">
        <v>154</v>
      </c>
      <c r="B154" s="187"/>
      <c r="C154" s="187"/>
      <c r="D154" s="187"/>
      <c r="E154" s="187"/>
      <c r="F154" s="187"/>
      <c r="G154" s="187"/>
      <c r="H154" s="187"/>
      <c r="I154" s="187"/>
      <c r="J154" s="187"/>
    </row>
    <row r="155" spans="1:10" ht="14.65" customHeight="1" x14ac:dyDescent="0.2">
      <c r="A155" s="188" t="s">
        <v>155</v>
      </c>
      <c r="B155" s="188"/>
      <c r="C155" s="188"/>
      <c r="D155" s="188"/>
      <c r="E155" s="188"/>
      <c r="F155" s="188"/>
      <c r="G155" s="188"/>
      <c r="H155" s="188"/>
      <c r="I155" s="188"/>
      <c r="J155" s="3" t="s">
        <v>60</v>
      </c>
    </row>
    <row r="156" spans="1:10" ht="14.65" customHeight="1" x14ac:dyDescent="0.2">
      <c r="A156" s="62" t="s">
        <v>7</v>
      </c>
      <c r="B156" s="182" t="s">
        <v>156</v>
      </c>
      <c r="C156" s="182"/>
      <c r="D156" s="182"/>
      <c r="E156" s="182"/>
      <c r="F156" s="182"/>
      <c r="G156" s="182"/>
      <c r="H156" s="182"/>
      <c r="I156" s="182"/>
      <c r="J156" s="48">
        <f>J44</f>
        <v>1672.4772727272725</v>
      </c>
    </row>
    <row r="157" spans="1:10" ht="14.65" customHeight="1" x14ac:dyDescent="0.2">
      <c r="A157" s="62" t="s">
        <v>9</v>
      </c>
      <c r="B157" s="182" t="s">
        <v>56</v>
      </c>
      <c r="C157" s="182"/>
      <c r="D157" s="182"/>
      <c r="E157" s="182"/>
      <c r="F157" s="182"/>
      <c r="G157" s="182"/>
      <c r="H157" s="182"/>
      <c r="I157" s="182"/>
      <c r="J157" s="48">
        <f>J85</f>
        <v>1339.6399999999999</v>
      </c>
    </row>
    <row r="158" spans="1:10" ht="14.65" customHeight="1" x14ac:dyDescent="0.2">
      <c r="A158" s="62" t="s">
        <v>12</v>
      </c>
      <c r="B158" s="182" t="s">
        <v>157</v>
      </c>
      <c r="C158" s="182"/>
      <c r="D158" s="182"/>
      <c r="E158" s="182"/>
      <c r="F158" s="182"/>
      <c r="G158" s="182"/>
      <c r="H158" s="182"/>
      <c r="I158" s="182"/>
      <c r="J158" s="48">
        <f>J95</f>
        <v>99.93</v>
      </c>
    </row>
    <row r="159" spans="1:10" ht="14.65" customHeight="1" x14ac:dyDescent="0.2">
      <c r="A159" s="62" t="s">
        <v>15</v>
      </c>
      <c r="B159" s="182" t="s">
        <v>158</v>
      </c>
      <c r="C159" s="182"/>
      <c r="D159" s="182"/>
      <c r="E159" s="182"/>
      <c r="F159" s="182"/>
      <c r="G159" s="182"/>
      <c r="H159" s="182"/>
      <c r="I159" s="182"/>
      <c r="J159" s="48">
        <f>J121</f>
        <v>271.71000000000004</v>
      </c>
    </row>
    <row r="160" spans="1:10" ht="14.65" customHeight="1" x14ac:dyDescent="0.2">
      <c r="A160" s="62" t="s">
        <v>76</v>
      </c>
      <c r="B160" s="182" t="s">
        <v>159</v>
      </c>
      <c r="C160" s="182"/>
      <c r="D160" s="182"/>
      <c r="E160" s="182"/>
      <c r="F160" s="182"/>
      <c r="G160" s="182"/>
      <c r="H160" s="182"/>
      <c r="I160" s="182"/>
      <c r="J160" s="48">
        <f>J129</f>
        <v>620.91256666666663</v>
      </c>
    </row>
    <row r="161" spans="1:10" ht="14.65" customHeight="1" x14ac:dyDescent="0.2">
      <c r="A161" s="183" t="s">
        <v>160</v>
      </c>
      <c r="B161" s="183"/>
      <c r="C161" s="183"/>
      <c r="D161" s="183"/>
      <c r="E161" s="183"/>
      <c r="F161" s="183"/>
      <c r="G161" s="183"/>
      <c r="H161" s="183"/>
      <c r="I161" s="183"/>
      <c r="J161" s="49">
        <f>SUM(J156:J160)</f>
        <v>4004.6698393939387</v>
      </c>
    </row>
    <row r="162" spans="1:10" ht="14.65" customHeight="1" x14ac:dyDescent="0.2">
      <c r="A162" s="63" t="s">
        <v>78</v>
      </c>
      <c r="B162" s="184" t="s">
        <v>161</v>
      </c>
      <c r="C162" s="184"/>
      <c r="D162" s="184"/>
      <c r="E162" s="184"/>
      <c r="F162" s="184"/>
      <c r="G162" s="184"/>
      <c r="H162" s="184"/>
      <c r="I162" s="184"/>
      <c r="J162" s="35">
        <f>J147</f>
        <v>958.56999999999994</v>
      </c>
    </row>
    <row r="163" spans="1:10" ht="14.65" customHeight="1" x14ac:dyDescent="0.2">
      <c r="A163" s="183" t="s">
        <v>162</v>
      </c>
      <c r="B163" s="183"/>
      <c r="C163" s="183"/>
      <c r="D163" s="183"/>
      <c r="E163" s="183"/>
      <c r="F163" s="183"/>
      <c r="G163" s="183"/>
      <c r="H163" s="183"/>
      <c r="I163" s="183"/>
      <c r="J163" s="49">
        <f>SUM(J161:J162)</f>
        <v>4963.2398393939384</v>
      </c>
    </row>
    <row r="164" spans="1:10" ht="17.100000000000001" customHeight="1" x14ac:dyDescent="0.2">
      <c r="A164" s="185" t="s">
        <v>163</v>
      </c>
      <c r="B164" s="185"/>
      <c r="C164" s="185"/>
      <c r="D164" s="185"/>
      <c r="E164" s="185"/>
      <c r="F164" s="185"/>
      <c r="G164" s="185"/>
      <c r="H164" s="185"/>
      <c r="I164" s="185"/>
      <c r="J164" s="185"/>
    </row>
    <row r="165" spans="1:10" ht="14.65" customHeight="1" x14ac:dyDescent="0.2">
      <c r="A165" s="134" t="s">
        <v>164</v>
      </c>
      <c r="B165" s="134"/>
      <c r="C165" s="134"/>
      <c r="D165" s="134"/>
      <c r="E165" s="134"/>
      <c r="F165" s="134"/>
      <c r="G165" s="134"/>
      <c r="H165" s="134"/>
      <c r="I165" s="134"/>
      <c r="J165" s="134"/>
    </row>
    <row r="166" spans="1:10" ht="39" customHeight="1" x14ac:dyDescent="0.2">
      <c r="A166" s="162" t="s">
        <v>165</v>
      </c>
      <c r="B166" s="162"/>
      <c r="C166" s="162"/>
      <c r="D166" s="162" t="s">
        <v>166</v>
      </c>
      <c r="E166" s="162"/>
      <c r="F166" s="162"/>
      <c r="G166" s="157" t="s">
        <v>167</v>
      </c>
      <c r="H166" s="157"/>
      <c r="I166" s="157" t="s">
        <v>168</v>
      </c>
      <c r="J166" s="157"/>
    </row>
    <row r="167" spans="1:10" ht="14.85" customHeight="1" x14ac:dyDescent="0.2">
      <c r="A167" s="165" t="s">
        <v>169</v>
      </c>
      <c r="B167" s="165"/>
      <c r="C167" s="165"/>
      <c r="D167" s="65">
        <v>1</v>
      </c>
      <c r="E167" s="66">
        <v>30</v>
      </c>
      <c r="F167" s="66">
        <f>E168</f>
        <v>1200</v>
      </c>
      <c r="G167" s="167">
        <v>0</v>
      </c>
      <c r="H167" s="167"/>
      <c r="I167" s="174">
        <f>ROUND((D167/E167*F167)*G167,2)</f>
        <v>0</v>
      </c>
      <c r="J167" s="174"/>
    </row>
    <row r="168" spans="1:10" ht="14.65" customHeight="1" x14ac:dyDescent="0.2">
      <c r="A168" s="165" t="s">
        <v>170</v>
      </c>
      <c r="B168" s="165"/>
      <c r="C168" s="165"/>
      <c r="D168" s="65">
        <v>1</v>
      </c>
      <c r="E168" s="166">
        <v>1200</v>
      </c>
      <c r="F168" s="166"/>
      <c r="G168" s="167">
        <f>J163</f>
        <v>4963.2398393939384</v>
      </c>
      <c r="H168" s="167"/>
      <c r="I168" s="174">
        <f>ROUND((D168/E168)*G168,2)</f>
        <v>4.1399999999999997</v>
      </c>
      <c r="J168" s="174"/>
    </row>
    <row r="169" spans="1:10" ht="14.65" customHeight="1" x14ac:dyDescent="0.2">
      <c r="A169" s="159" t="s">
        <v>171</v>
      </c>
      <c r="B169" s="159"/>
      <c r="C169" s="159"/>
      <c r="D169" s="159"/>
      <c r="E169" s="159"/>
      <c r="F169" s="159"/>
      <c r="G169" s="159"/>
      <c r="H169" s="159"/>
      <c r="I169" s="174">
        <f>SUM(I167+I168)</f>
        <v>4.1399999999999997</v>
      </c>
      <c r="J169" s="174"/>
    </row>
    <row r="170" spans="1:10" ht="14.65" customHeight="1" x14ac:dyDescent="0.2">
      <c r="A170" s="170"/>
      <c r="B170" s="170"/>
      <c r="C170" s="170"/>
      <c r="D170" s="170"/>
      <c r="E170" s="170"/>
      <c r="F170" s="170"/>
      <c r="G170" s="170"/>
      <c r="H170" s="170"/>
      <c r="I170" s="170"/>
      <c r="J170" s="170"/>
    </row>
    <row r="171" spans="1:10" ht="14.65" customHeight="1" x14ac:dyDescent="0.2">
      <c r="A171" s="180" t="s">
        <v>172</v>
      </c>
      <c r="B171" s="180"/>
      <c r="C171" s="180"/>
      <c r="D171" s="68">
        <v>1</v>
      </c>
      <c r="E171" s="68">
        <v>30</v>
      </c>
      <c r="F171" s="69">
        <f>E172</f>
        <v>400</v>
      </c>
      <c r="G171" s="179">
        <v>0</v>
      </c>
      <c r="H171" s="179"/>
      <c r="I171" s="174">
        <f>ROUND((D171/E171*F171)*G171,2)</f>
        <v>0</v>
      </c>
      <c r="J171" s="174"/>
    </row>
    <row r="172" spans="1:10" ht="14.65" customHeight="1" x14ac:dyDescent="0.2">
      <c r="A172" s="180" t="s">
        <v>173</v>
      </c>
      <c r="B172" s="180"/>
      <c r="C172" s="180"/>
      <c r="D172" s="70">
        <v>1</v>
      </c>
      <c r="E172" s="181">
        <v>400</v>
      </c>
      <c r="F172" s="181"/>
      <c r="G172" s="179">
        <f>J163</f>
        <v>4963.2398393939384</v>
      </c>
      <c r="H172" s="179"/>
      <c r="I172" s="174">
        <f>ROUND((D172/E172)*G172,2)</f>
        <v>12.41</v>
      </c>
      <c r="J172" s="174"/>
    </row>
    <row r="173" spans="1:10" ht="14.65" customHeight="1" x14ac:dyDescent="0.2">
      <c r="A173" s="159" t="s">
        <v>171</v>
      </c>
      <c r="B173" s="159"/>
      <c r="C173" s="159"/>
      <c r="D173" s="159"/>
      <c r="E173" s="159"/>
      <c r="F173" s="159"/>
      <c r="G173" s="159"/>
      <c r="H173" s="159"/>
      <c r="I173" s="174">
        <f>SUM(I171+I172)</f>
        <v>12.41</v>
      </c>
      <c r="J173" s="174"/>
    </row>
    <row r="174" spans="1:10" ht="14.65" customHeight="1" x14ac:dyDescent="0.2">
      <c r="A174" s="170"/>
      <c r="B174" s="170"/>
      <c r="C174" s="170"/>
      <c r="D174" s="170"/>
      <c r="E174" s="170"/>
      <c r="F174" s="170"/>
      <c r="G174" s="170"/>
      <c r="H174" s="170"/>
      <c r="I174" s="170"/>
      <c r="J174" s="170"/>
    </row>
    <row r="175" spans="1:10" ht="21" customHeight="1" x14ac:dyDescent="0.2">
      <c r="A175" s="180" t="s">
        <v>174</v>
      </c>
      <c r="B175" s="180"/>
      <c r="C175" s="180"/>
      <c r="D175" s="68">
        <v>1</v>
      </c>
      <c r="E175" s="68">
        <v>30</v>
      </c>
      <c r="F175" s="69">
        <f>E176</f>
        <v>2500</v>
      </c>
      <c r="G175" s="179">
        <v>0</v>
      </c>
      <c r="H175" s="179"/>
      <c r="I175" s="174">
        <f>ROUND((D175/E175*F175)*G175,2)</f>
        <v>0</v>
      </c>
      <c r="J175" s="174"/>
    </row>
    <row r="176" spans="1:10" ht="14.65" customHeight="1" x14ac:dyDescent="0.2">
      <c r="A176" s="180" t="s">
        <v>175</v>
      </c>
      <c r="B176" s="180"/>
      <c r="C176" s="180"/>
      <c r="D176" s="70">
        <v>1</v>
      </c>
      <c r="E176" s="181">
        <v>2500</v>
      </c>
      <c r="F176" s="181"/>
      <c r="G176" s="179">
        <f>J163</f>
        <v>4963.2398393939384</v>
      </c>
      <c r="H176" s="179"/>
      <c r="I176" s="174">
        <f>ROUND((D176/E176)*G176,2)</f>
        <v>1.99</v>
      </c>
      <c r="J176" s="174"/>
    </row>
    <row r="177" spans="1:10" ht="14.65" customHeight="1" x14ac:dyDescent="0.2">
      <c r="A177" s="159" t="s">
        <v>171</v>
      </c>
      <c r="B177" s="159"/>
      <c r="C177" s="159"/>
      <c r="D177" s="159"/>
      <c r="E177" s="159"/>
      <c r="F177" s="159"/>
      <c r="G177" s="159"/>
      <c r="H177" s="159"/>
      <c r="I177" s="174">
        <f>SUM(I175+I176)</f>
        <v>1.99</v>
      </c>
      <c r="J177" s="174"/>
    </row>
    <row r="178" spans="1:10" ht="14.65" customHeight="1" x14ac:dyDescent="0.2">
      <c r="A178" s="170"/>
      <c r="B178" s="170"/>
      <c r="C178" s="170"/>
      <c r="D178" s="170"/>
      <c r="E178" s="170"/>
      <c r="F178" s="170"/>
      <c r="G178" s="170"/>
      <c r="H178" s="170"/>
      <c r="I178" s="170"/>
      <c r="J178" s="170"/>
    </row>
    <row r="179" spans="1:10" ht="22.5" customHeight="1" x14ac:dyDescent="0.2">
      <c r="A179" s="165" t="s">
        <v>176</v>
      </c>
      <c r="B179" s="165"/>
      <c r="C179" s="165"/>
      <c r="D179" s="66">
        <v>1</v>
      </c>
      <c r="E179" s="66">
        <v>30</v>
      </c>
      <c r="F179" s="71">
        <f>E180</f>
        <v>1500</v>
      </c>
      <c r="G179" s="178">
        <v>0</v>
      </c>
      <c r="H179" s="178"/>
      <c r="I179" s="174">
        <f>ROUND((D179/E179*F179)*G179,2)</f>
        <v>0</v>
      </c>
      <c r="J179" s="174"/>
    </row>
    <row r="180" spans="1:10" ht="22.35" customHeight="1" x14ac:dyDescent="0.2">
      <c r="A180" s="165" t="s">
        <v>177</v>
      </c>
      <c r="B180" s="165"/>
      <c r="C180" s="165"/>
      <c r="D180" s="66">
        <v>1</v>
      </c>
      <c r="E180" s="166">
        <v>1500</v>
      </c>
      <c r="F180" s="166"/>
      <c r="G180" s="179">
        <f>J163</f>
        <v>4963.2398393939384</v>
      </c>
      <c r="H180" s="179"/>
      <c r="I180" s="174">
        <f>ROUND((D180/E180)*G180,2)</f>
        <v>3.31</v>
      </c>
      <c r="J180" s="174"/>
    </row>
    <row r="181" spans="1:10" ht="14.65" customHeight="1" x14ac:dyDescent="0.2">
      <c r="A181" s="176" t="s">
        <v>171</v>
      </c>
      <c r="B181" s="176"/>
      <c r="C181" s="176"/>
      <c r="D181" s="176"/>
      <c r="E181" s="176"/>
      <c r="F181" s="176"/>
      <c r="G181" s="176"/>
      <c r="H181" s="176"/>
      <c r="I181" s="177">
        <f>SUM(I179+I180)</f>
        <v>3.31</v>
      </c>
      <c r="J181" s="177"/>
    </row>
    <row r="182" spans="1:10" ht="14.65" customHeight="1" x14ac:dyDescent="0.2">
      <c r="A182" s="170"/>
      <c r="B182" s="170"/>
      <c r="C182" s="170"/>
      <c r="D182" s="170"/>
      <c r="E182" s="170"/>
      <c r="F182" s="170"/>
      <c r="G182" s="170"/>
      <c r="H182" s="170"/>
      <c r="I182" s="170"/>
      <c r="J182" s="170"/>
    </row>
    <row r="183" spans="1:10" ht="14.65" customHeight="1" x14ac:dyDescent="0.2">
      <c r="A183" s="171" t="s">
        <v>178</v>
      </c>
      <c r="B183" s="171"/>
      <c r="C183" s="171"/>
      <c r="D183" s="72">
        <v>1</v>
      </c>
      <c r="E183" s="72">
        <v>30</v>
      </c>
      <c r="F183" s="69">
        <f>E184</f>
        <v>250</v>
      </c>
      <c r="G183" s="173">
        <v>0</v>
      </c>
      <c r="H183" s="173"/>
      <c r="I183" s="174">
        <f>ROUND((D183/E183*F183)*G183,2)</f>
        <v>0</v>
      </c>
      <c r="J183" s="174"/>
    </row>
    <row r="184" spans="1:10" ht="14.65" customHeight="1" x14ac:dyDescent="0.2">
      <c r="A184" s="171" t="s">
        <v>179</v>
      </c>
      <c r="B184" s="171"/>
      <c r="C184" s="171"/>
      <c r="D184" s="72">
        <v>1</v>
      </c>
      <c r="E184" s="172">
        <v>250</v>
      </c>
      <c r="F184" s="172"/>
      <c r="G184" s="173">
        <f>J163</f>
        <v>4963.2398393939384</v>
      </c>
      <c r="H184" s="173"/>
      <c r="I184" s="174">
        <f>ROUND((D184/E184)*G184,2)</f>
        <v>19.850000000000001</v>
      </c>
      <c r="J184" s="174"/>
    </row>
    <row r="185" spans="1:10" ht="14.65" customHeight="1" x14ac:dyDescent="0.2">
      <c r="A185" s="175" t="s">
        <v>171</v>
      </c>
      <c r="B185" s="175"/>
      <c r="C185" s="175"/>
      <c r="D185" s="175"/>
      <c r="E185" s="175"/>
      <c r="F185" s="175"/>
      <c r="G185" s="175"/>
      <c r="H185" s="175"/>
      <c r="I185" s="174">
        <f>SUM(I183+I184)</f>
        <v>19.850000000000001</v>
      </c>
      <c r="J185" s="174"/>
    </row>
    <row r="186" spans="1:10" ht="14.65" customHeight="1" x14ac:dyDescent="0.2">
      <c r="A186" s="170"/>
      <c r="B186" s="170"/>
      <c r="C186" s="170"/>
      <c r="D186" s="170"/>
      <c r="E186" s="170"/>
      <c r="F186" s="170"/>
      <c r="G186" s="170"/>
      <c r="H186" s="170"/>
      <c r="I186" s="170"/>
      <c r="J186" s="170"/>
    </row>
    <row r="187" spans="1:10" ht="22.5" customHeight="1" x14ac:dyDescent="0.2">
      <c r="A187" s="165" t="s">
        <v>180</v>
      </c>
      <c r="B187" s="165"/>
      <c r="C187" s="165"/>
      <c r="D187" s="73">
        <v>1</v>
      </c>
      <c r="E187" s="73" t="s">
        <v>181</v>
      </c>
      <c r="F187" s="67">
        <f>E188</f>
        <v>9000</v>
      </c>
      <c r="G187" s="167">
        <v>0</v>
      </c>
      <c r="H187" s="167"/>
      <c r="I187" s="168">
        <v>0</v>
      </c>
      <c r="J187" s="168"/>
    </row>
    <row r="188" spans="1:10" ht="22.5" customHeight="1" x14ac:dyDescent="0.2">
      <c r="A188" s="165" t="s">
        <v>182</v>
      </c>
      <c r="B188" s="165"/>
      <c r="C188" s="165"/>
      <c r="D188" s="73">
        <v>1</v>
      </c>
      <c r="E188" s="166">
        <v>9000</v>
      </c>
      <c r="F188" s="166"/>
      <c r="G188" s="167">
        <f>J163</f>
        <v>4963.2398393939384</v>
      </c>
      <c r="H188" s="167"/>
      <c r="I188" s="168">
        <f>ROUND((D188/E188)*G188,2)</f>
        <v>0.55000000000000004</v>
      </c>
      <c r="J188" s="168"/>
    </row>
    <row r="189" spans="1:10" ht="14.65" customHeight="1" x14ac:dyDescent="0.2">
      <c r="A189" s="159" t="s">
        <v>171</v>
      </c>
      <c r="B189" s="159"/>
      <c r="C189" s="159"/>
      <c r="D189" s="159"/>
      <c r="E189" s="159"/>
      <c r="F189" s="159"/>
      <c r="G189" s="159"/>
      <c r="H189" s="159"/>
      <c r="I189" s="168">
        <f>SUM(I187+I188)</f>
        <v>0.55000000000000004</v>
      </c>
      <c r="J189" s="168"/>
    </row>
    <row r="190" spans="1:10" ht="14.65" customHeight="1" x14ac:dyDescent="0.2">
      <c r="A190" s="169"/>
      <c r="B190" s="169"/>
      <c r="C190" s="169"/>
      <c r="D190" s="169"/>
      <c r="E190" s="169"/>
      <c r="F190" s="169"/>
      <c r="G190" s="169"/>
      <c r="H190" s="169"/>
      <c r="I190" s="169"/>
      <c r="J190" s="169"/>
    </row>
    <row r="191" spans="1:10" ht="22.5" customHeight="1" x14ac:dyDescent="0.2">
      <c r="A191" s="165" t="s">
        <v>183</v>
      </c>
      <c r="B191" s="165"/>
      <c r="C191" s="165"/>
      <c r="D191" s="73">
        <v>1</v>
      </c>
      <c r="E191" s="73" t="s">
        <v>181</v>
      </c>
      <c r="F191" s="67">
        <f>E192</f>
        <v>100000</v>
      </c>
      <c r="G191" s="167">
        <v>0</v>
      </c>
      <c r="H191" s="167"/>
      <c r="I191" s="168">
        <v>0</v>
      </c>
      <c r="J191" s="168"/>
    </row>
    <row r="192" spans="1:10" ht="14.65" customHeight="1" x14ac:dyDescent="0.2">
      <c r="A192" s="165" t="s">
        <v>184</v>
      </c>
      <c r="B192" s="165"/>
      <c r="C192" s="165"/>
      <c r="D192" s="73">
        <v>1</v>
      </c>
      <c r="E192" s="166">
        <v>100000</v>
      </c>
      <c r="F192" s="166"/>
      <c r="G192" s="167">
        <f>J163</f>
        <v>4963.2398393939384</v>
      </c>
      <c r="H192" s="167"/>
      <c r="I192" s="168">
        <f>ROUND((D192/E192)*G192,2)</f>
        <v>0.05</v>
      </c>
      <c r="J192" s="168"/>
    </row>
    <row r="193" spans="1:10" ht="14.65" customHeight="1" x14ac:dyDescent="0.2">
      <c r="A193" s="159" t="s">
        <v>171</v>
      </c>
      <c r="B193" s="159"/>
      <c r="C193" s="159"/>
      <c r="D193" s="159"/>
      <c r="E193" s="159"/>
      <c r="F193" s="159"/>
      <c r="G193" s="159"/>
      <c r="H193" s="159"/>
      <c r="I193" s="168">
        <f>SUM(I191+I192)</f>
        <v>0.05</v>
      </c>
      <c r="J193" s="168"/>
    </row>
    <row r="194" spans="1:10" ht="14.65" customHeight="1" x14ac:dyDescent="0.2">
      <c r="A194" s="161"/>
      <c r="B194" s="161"/>
      <c r="C194" s="161"/>
      <c r="D194" s="161"/>
      <c r="E194" s="161"/>
      <c r="F194" s="161"/>
      <c r="G194" s="161"/>
      <c r="H194" s="161"/>
      <c r="I194" s="161"/>
      <c r="J194" s="161"/>
    </row>
    <row r="195" spans="1:10" ht="54.75" customHeight="1" x14ac:dyDescent="0.2">
      <c r="A195" s="64" t="s">
        <v>185</v>
      </c>
      <c r="B195" s="162" t="s">
        <v>186</v>
      </c>
      <c r="C195" s="162"/>
      <c r="D195" s="162"/>
      <c r="E195" s="74" t="s">
        <v>187</v>
      </c>
      <c r="F195" s="163" t="s">
        <v>188</v>
      </c>
      <c r="G195" s="163"/>
      <c r="H195" s="74" t="s">
        <v>189</v>
      </c>
      <c r="I195" s="74" t="s">
        <v>190</v>
      </c>
      <c r="J195" s="74" t="s">
        <v>191</v>
      </c>
    </row>
    <row r="196" spans="1:10" ht="14.65" customHeight="1" x14ac:dyDescent="0.2">
      <c r="A196" s="140"/>
      <c r="B196" s="140"/>
      <c r="C196" s="140"/>
      <c r="D196" s="140"/>
      <c r="E196" s="140"/>
      <c r="F196" s="140"/>
      <c r="G196" s="140"/>
      <c r="H196" s="140"/>
      <c r="I196" s="140"/>
      <c r="J196" s="140"/>
    </row>
    <row r="197" spans="1:10" ht="76.5" x14ac:dyDescent="0.2">
      <c r="A197" s="75" t="s">
        <v>192</v>
      </c>
      <c r="B197" s="76">
        <v>1</v>
      </c>
      <c r="C197" s="164" t="s">
        <v>193</v>
      </c>
      <c r="D197" s="164"/>
      <c r="E197" s="77">
        <v>16</v>
      </c>
      <c r="F197" s="78" t="s">
        <v>194</v>
      </c>
      <c r="G197" s="78" t="s">
        <v>195</v>
      </c>
      <c r="H197" s="79">
        <f>ROUND((B197/C197)*E197*(F197/G197),7)</f>
        <v>5.2979999999999998E-4</v>
      </c>
      <c r="I197" s="61">
        <f>J163</f>
        <v>4963.2398393939384</v>
      </c>
      <c r="J197" s="61">
        <f>ROUND(H197*I197,2)</f>
        <v>2.63</v>
      </c>
    </row>
    <row r="198" spans="1:10" ht="13.15" customHeight="1" x14ac:dyDescent="0.2">
      <c r="A198" s="159" t="s">
        <v>171</v>
      </c>
      <c r="B198" s="159"/>
      <c r="C198" s="159"/>
      <c r="D198" s="159"/>
      <c r="E198" s="159"/>
      <c r="F198" s="159"/>
      <c r="G198" s="159"/>
      <c r="H198" s="159"/>
      <c r="I198" s="159"/>
      <c r="J198" s="61">
        <f>J197</f>
        <v>2.63</v>
      </c>
    </row>
    <row r="199" spans="1:10" ht="63.75" x14ac:dyDescent="0.2">
      <c r="A199" s="75" t="s">
        <v>196</v>
      </c>
      <c r="B199" s="76">
        <v>1</v>
      </c>
      <c r="C199" s="158">
        <v>380</v>
      </c>
      <c r="D199" s="158"/>
      <c r="E199" s="77">
        <v>16</v>
      </c>
      <c r="F199" s="78" t="s">
        <v>194</v>
      </c>
      <c r="G199" s="78" t="s">
        <v>195</v>
      </c>
      <c r="H199" s="79">
        <f>ROUND((B199/C199)*E199*(F199/G199),7)</f>
        <v>2.231E-4</v>
      </c>
      <c r="I199" s="61">
        <f>J163</f>
        <v>4963.2398393939384</v>
      </c>
      <c r="J199" s="61">
        <f>ROUND(H199*I199,2)</f>
        <v>1.1100000000000001</v>
      </c>
    </row>
    <row r="200" spans="1:10" ht="13.15" customHeight="1" x14ac:dyDescent="0.2">
      <c r="A200" s="159" t="s">
        <v>171</v>
      </c>
      <c r="B200" s="159"/>
      <c r="C200" s="159"/>
      <c r="D200" s="159"/>
      <c r="E200" s="159"/>
      <c r="F200" s="159"/>
      <c r="G200" s="159"/>
      <c r="H200" s="159"/>
      <c r="I200" s="159"/>
      <c r="J200" s="61">
        <f>J199</f>
        <v>1.1100000000000001</v>
      </c>
    </row>
    <row r="201" spans="1:10" ht="38.25" x14ac:dyDescent="0.2">
      <c r="A201" s="75" t="s">
        <v>197</v>
      </c>
      <c r="B201" s="76">
        <v>1</v>
      </c>
      <c r="C201" s="158">
        <v>380</v>
      </c>
      <c r="D201" s="158"/>
      <c r="E201" s="77">
        <v>16</v>
      </c>
      <c r="F201" s="78" t="s">
        <v>194</v>
      </c>
      <c r="G201" s="78" t="s">
        <v>195</v>
      </c>
      <c r="H201" s="79">
        <f>ROUND((B201/C201)*E201*(F201/G201),7)</f>
        <v>2.231E-4</v>
      </c>
      <c r="I201" s="61">
        <f>J163</f>
        <v>4963.2398393939384</v>
      </c>
      <c r="J201" s="61">
        <f>ROUND(H201*I201,2)</f>
        <v>1.1100000000000001</v>
      </c>
    </row>
    <row r="202" spans="1:10" ht="13.15" customHeight="1" x14ac:dyDescent="0.2">
      <c r="A202" s="159" t="s">
        <v>171</v>
      </c>
      <c r="B202" s="159"/>
      <c r="C202" s="159"/>
      <c r="D202" s="159"/>
      <c r="E202" s="159"/>
      <c r="F202" s="159"/>
      <c r="G202" s="159"/>
      <c r="H202" s="159"/>
      <c r="I202" s="159"/>
      <c r="J202" s="61">
        <f>J201</f>
        <v>1.1100000000000001</v>
      </c>
    </row>
    <row r="203" spans="1:10" ht="14.65" customHeight="1" x14ac:dyDescent="0.2">
      <c r="A203" s="152"/>
      <c r="B203" s="152"/>
      <c r="C203" s="152"/>
      <c r="D203" s="152"/>
      <c r="E203" s="152"/>
      <c r="F203" s="152"/>
      <c r="G203" s="152"/>
      <c r="H203" s="152"/>
      <c r="I203" s="152"/>
      <c r="J203" s="152"/>
    </row>
    <row r="204" spans="1:10" ht="17.100000000000001" customHeight="1" x14ac:dyDescent="0.2">
      <c r="A204" s="160" t="s">
        <v>198</v>
      </c>
      <c r="B204" s="160"/>
      <c r="C204" s="160"/>
      <c r="D204" s="160"/>
      <c r="E204" s="160"/>
      <c r="F204" s="160"/>
      <c r="G204" s="160"/>
      <c r="H204" s="160"/>
      <c r="I204" s="160"/>
      <c r="J204" s="160"/>
    </row>
    <row r="205" spans="1:10" ht="27.6" customHeight="1" x14ac:dyDescent="0.2">
      <c r="A205" s="135" t="s">
        <v>199</v>
      </c>
      <c r="B205" s="135"/>
      <c r="C205" s="135"/>
      <c r="D205" s="135"/>
      <c r="E205" s="135"/>
      <c r="F205" s="157" t="s">
        <v>200</v>
      </c>
      <c r="G205" s="157"/>
      <c r="H205" s="3" t="s">
        <v>201</v>
      </c>
      <c r="I205" s="157" t="s">
        <v>202</v>
      </c>
      <c r="J205" s="157"/>
    </row>
    <row r="206" spans="1:10" ht="13.15" customHeight="1" x14ac:dyDescent="0.2">
      <c r="A206" s="145" t="s">
        <v>203</v>
      </c>
      <c r="B206" s="145"/>
      <c r="C206" s="145"/>
      <c r="D206" s="145"/>
      <c r="E206" s="145"/>
      <c r="F206" s="155">
        <f>I169</f>
        <v>4.1399999999999997</v>
      </c>
      <c r="G206" s="155"/>
      <c r="H206" s="80">
        <f t="shared" ref="H206:H211" si="1">I13</f>
        <v>1329.6</v>
      </c>
      <c r="I206" s="156">
        <f>ROUND(F206*H206,2)</f>
        <v>5504.54</v>
      </c>
      <c r="J206" s="156"/>
    </row>
    <row r="207" spans="1:10" ht="13.15" customHeight="1" x14ac:dyDescent="0.2">
      <c r="A207" s="145" t="s">
        <v>204</v>
      </c>
      <c r="B207" s="145"/>
      <c r="C207" s="145"/>
      <c r="D207" s="145"/>
      <c r="E207" s="145"/>
      <c r="F207" s="155">
        <f>I173</f>
        <v>12.41</v>
      </c>
      <c r="G207" s="155"/>
      <c r="H207" s="80">
        <f t="shared" si="1"/>
        <v>700</v>
      </c>
      <c r="I207" s="156">
        <f>ROUND(F207*H207,2)</f>
        <v>8687</v>
      </c>
      <c r="J207" s="156"/>
    </row>
    <row r="208" spans="1:10" ht="13.15" customHeight="1" x14ac:dyDescent="0.2">
      <c r="A208" s="145" t="s">
        <v>205</v>
      </c>
      <c r="B208" s="145"/>
      <c r="C208" s="145"/>
      <c r="D208" s="145"/>
      <c r="E208" s="145"/>
      <c r="F208" s="155">
        <f>I177</f>
        <v>1.99</v>
      </c>
      <c r="G208" s="155"/>
      <c r="H208" s="80">
        <f t="shared" si="1"/>
        <v>215</v>
      </c>
      <c r="I208" s="156">
        <f>ROUND(F208*H208,2)</f>
        <v>427.85</v>
      </c>
      <c r="J208" s="156"/>
    </row>
    <row r="209" spans="1:10" ht="13.15" customHeight="1" x14ac:dyDescent="0.2">
      <c r="A209" s="145" t="s">
        <v>206</v>
      </c>
      <c r="B209" s="145"/>
      <c r="C209" s="145"/>
      <c r="D209" s="145"/>
      <c r="E209" s="145"/>
      <c r="F209" s="155">
        <f>I181</f>
        <v>3.31</v>
      </c>
      <c r="G209" s="155"/>
      <c r="H209" s="80">
        <f t="shared" si="1"/>
        <v>410</v>
      </c>
      <c r="I209" s="156">
        <f>ROUND(F209*H209,2)</f>
        <v>1357.1</v>
      </c>
      <c r="J209" s="156"/>
    </row>
    <row r="210" spans="1:10" ht="13.15" customHeight="1" x14ac:dyDescent="0.2">
      <c r="A210" s="145" t="s">
        <v>207</v>
      </c>
      <c r="B210" s="145"/>
      <c r="C210" s="145"/>
      <c r="D210" s="145"/>
      <c r="E210" s="145"/>
      <c r="F210" s="155">
        <f>I185</f>
        <v>19.850000000000001</v>
      </c>
      <c r="G210" s="155"/>
      <c r="H210" s="80">
        <f t="shared" si="1"/>
        <v>160</v>
      </c>
      <c r="I210" s="156">
        <f>ROUND(F210*H210,2)</f>
        <v>3176</v>
      </c>
      <c r="J210" s="156"/>
    </row>
    <row r="211" spans="1:10" ht="27.6" customHeight="1" x14ac:dyDescent="0.2">
      <c r="A211" s="148" t="s">
        <v>30</v>
      </c>
      <c r="B211" s="148"/>
      <c r="C211" s="148"/>
      <c r="D211" s="148"/>
      <c r="E211" s="148"/>
      <c r="F211" s="148"/>
      <c r="G211" s="148"/>
      <c r="H211" s="81">
        <f t="shared" si="1"/>
        <v>2814.6</v>
      </c>
      <c r="I211" s="149">
        <f>SUM(I206:I210)</f>
        <v>19152.490000000002</v>
      </c>
      <c r="J211" s="149"/>
    </row>
    <row r="212" spans="1:10" ht="15.75" customHeight="1" x14ac:dyDescent="0.2">
      <c r="A212" s="153"/>
      <c r="B212" s="153"/>
      <c r="C212" s="153"/>
      <c r="D212" s="153"/>
      <c r="E212" s="153"/>
      <c r="F212" s="153"/>
      <c r="G212" s="153"/>
      <c r="H212" s="153"/>
      <c r="I212" s="153"/>
      <c r="J212" s="153"/>
    </row>
    <row r="213" spans="1:10" ht="13.15" customHeight="1" x14ac:dyDescent="0.2">
      <c r="A213" s="154" t="s">
        <v>208</v>
      </c>
      <c r="B213" s="154"/>
      <c r="C213" s="154"/>
      <c r="D213" s="154"/>
      <c r="E213" s="154"/>
      <c r="F213" s="150">
        <f>I189</f>
        <v>0.55000000000000004</v>
      </c>
      <c r="G213" s="150"/>
      <c r="H213" s="82">
        <f>J20</f>
        <v>8000</v>
      </c>
      <c r="I213" s="151">
        <f>ROUND(F213*H213,2)</f>
        <v>4400</v>
      </c>
      <c r="J213" s="151"/>
    </row>
    <row r="214" spans="1:10" ht="13.15" customHeight="1" x14ac:dyDescent="0.2">
      <c r="A214" s="134" t="s">
        <v>209</v>
      </c>
      <c r="B214" s="134"/>
      <c r="C214" s="134"/>
      <c r="D214" s="134"/>
      <c r="E214" s="134"/>
      <c r="F214" s="146">
        <f>I193</f>
        <v>0.05</v>
      </c>
      <c r="G214" s="146"/>
      <c r="H214" s="82">
        <f>J21</f>
        <v>15000</v>
      </c>
      <c r="I214" s="151">
        <f>ROUND(F214*H214,2)</f>
        <v>750</v>
      </c>
      <c r="J214" s="151"/>
    </row>
    <row r="215" spans="1:10" ht="14.65" customHeight="1" x14ac:dyDescent="0.2">
      <c r="A215" s="148" t="s">
        <v>33</v>
      </c>
      <c r="B215" s="148"/>
      <c r="C215" s="148"/>
      <c r="D215" s="148"/>
      <c r="E215" s="148"/>
      <c r="F215" s="148"/>
      <c r="G215" s="148"/>
      <c r="H215" s="81">
        <f>J22</f>
        <v>23000</v>
      </c>
      <c r="I215" s="149">
        <f>SUM(I213:I214)</f>
        <v>5150</v>
      </c>
      <c r="J215" s="149"/>
    </row>
    <row r="216" spans="1:10" ht="14.65" customHeight="1" x14ac:dyDescent="0.2">
      <c r="A216" s="152"/>
      <c r="B216" s="152"/>
      <c r="C216" s="152"/>
      <c r="D216" s="152"/>
      <c r="E216" s="152"/>
      <c r="F216" s="152"/>
      <c r="G216" s="152"/>
      <c r="H216" s="152"/>
      <c r="I216" s="152"/>
      <c r="J216" s="152"/>
    </row>
    <row r="217" spans="1:10" ht="13.15" customHeight="1" x14ac:dyDescent="0.2">
      <c r="A217" s="145" t="s">
        <v>210</v>
      </c>
      <c r="B217" s="145"/>
      <c r="C217" s="145"/>
      <c r="D217" s="145"/>
      <c r="E217" s="145"/>
      <c r="F217" s="150">
        <f>J202</f>
        <v>1.1100000000000001</v>
      </c>
      <c r="G217" s="150"/>
      <c r="H217" s="83">
        <f>J26</f>
        <v>380</v>
      </c>
      <c r="I217" s="147">
        <f>ROUND(F217*H217,2)</f>
        <v>421.8</v>
      </c>
      <c r="J217" s="147"/>
    </row>
    <row r="218" spans="1:10" ht="13.15" customHeight="1" x14ac:dyDescent="0.2">
      <c r="A218" s="145" t="s">
        <v>211</v>
      </c>
      <c r="B218" s="145"/>
      <c r="C218" s="145"/>
      <c r="D218" s="145"/>
      <c r="E218" s="145"/>
      <c r="F218" s="146">
        <f>J200</f>
        <v>1.1100000000000001</v>
      </c>
      <c r="G218" s="146"/>
      <c r="H218" s="83">
        <f>J25</f>
        <v>380</v>
      </c>
      <c r="I218" s="147">
        <f>ROUND(F218*H218,2)</f>
        <v>421.8</v>
      </c>
      <c r="J218" s="147"/>
    </row>
    <row r="219" spans="1:10" ht="13.15" customHeight="1" x14ac:dyDescent="0.2">
      <c r="A219" s="145" t="s">
        <v>212</v>
      </c>
      <c r="B219" s="145"/>
      <c r="C219" s="145"/>
      <c r="D219" s="145"/>
      <c r="E219" s="145"/>
      <c r="F219" s="146">
        <f>J198</f>
        <v>2.63</v>
      </c>
      <c r="G219" s="146"/>
      <c r="H219" s="83">
        <f>J24</f>
        <v>160</v>
      </c>
      <c r="I219" s="147">
        <f>ROUND(F219*H219,2)</f>
        <v>420.8</v>
      </c>
      <c r="J219" s="147"/>
    </row>
    <row r="220" spans="1:10" ht="14.65" customHeight="1" x14ac:dyDescent="0.2">
      <c r="A220" s="148" t="s">
        <v>213</v>
      </c>
      <c r="B220" s="148"/>
      <c r="C220" s="148"/>
      <c r="D220" s="148"/>
      <c r="E220" s="148"/>
      <c r="F220" s="148"/>
      <c r="G220" s="148"/>
      <c r="H220" s="81">
        <f>J27</f>
        <v>920</v>
      </c>
      <c r="I220" s="149">
        <f>SUM(I217:I219)</f>
        <v>1264.4000000000001</v>
      </c>
      <c r="J220" s="149"/>
    </row>
    <row r="221" spans="1:10" ht="12.75" customHeight="1" x14ac:dyDescent="0.2">
      <c r="A221" s="140"/>
      <c r="B221" s="140"/>
      <c r="C221" s="140"/>
      <c r="D221" s="140"/>
      <c r="E221" s="140"/>
      <c r="F221" s="140"/>
      <c r="G221" s="140"/>
      <c r="H221" s="140"/>
      <c r="I221" s="140"/>
      <c r="J221" s="140"/>
    </row>
    <row r="222" spans="1:10" ht="14.65" customHeight="1" x14ac:dyDescent="0.2">
      <c r="A222" s="142" t="s">
        <v>171</v>
      </c>
      <c r="B222" s="142"/>
      <c r="C222" s="142"/>
      <c r="D222" s="142"/>
      <c r="E222" s="142"/>
      <c r="F222" s="142"/>
      <c r="G222" s="142"/>
      <c r="H222" s="84">
        <f>ROUND(H211+H215+H220,2)</f>
        <v>26734.6</v>
      </c>
      <c r="I222" s="143">
        <f>ROUND(I211+I215+I220,2)</f>
        <v>25566.89</v>
      </c>
      <c r="J222" s="143"/>
    </row>
    <row r="223" spans="1:10" ht="12.75" customHeight="1" x14ac:dyDescent="0.2">
      <c r="A223" s="140"/>
      <c r="B223" s="140"/>
      <c r="C223" s="140"/>
      <c r="D223" s="140"/>
      <c r="E223" s="140"/>
      <c r="F223" s="140"/>
      <c r="G223" s="140"/>
      <c r="H223" s="140"/>
      <c r="I223" s="140"/>
      <c r="J223" s="140"/>
    </row>
    <row r="224" spans="1:10" ht="20.100000000000001" customHeight="1" x14ac:dyDescent="0.2">
      <c r="A224" s="144" t="s">
        <v>214</v>
      </c>
      <c r="B224" s="144"/>
      <c r="C224" s="144"/>
      <c r="D224" s="144"/>
      <c r="E224" s="144"/>
      <c r="F224" s="144"/>
      <c r="G224" s="144"/>
      <c r="H224" s="144"/>
      <c r="I224" s="139">
        <f>I222</f>
        <v>25566.89</v>
      </c>
      <c r="J224" s="139"/>
    </row>
    <row r="225" spans="1:10" ht="12.75" customHeight="1" x14ac:dyDescent="0.2">
      <c r="A225" s="140"/>
      <c r="B225" s="140"/>
      <c r="C225" s="140"/>
      <c r="D225" s="140"/>
      <c r="E225" s="140"/>
      <c r="F225" s="140"/>
      <c r="G225" s="140"/>
      <c r="H225" s="140"/>
      <c r="I225" s="140"/>
      <c r="J225" s="140"/>
    </row>
    <row r="226" spans="1:10" ht="20.100000000000001" customHeight="1" x14ac:dyDescent="0.2">
      <c r="A226" s="138" t="s">
        <v>215</v>
      </c>
      <c r="B226" s="138"/>
      <c r="C226" s="138"/>
      <c r="D226" s="138"/>
      <c r="E226" s="138"/>
      <c r="F226" s="138"/>
      <c r="G226" s="138"/>
      <c r="H226" s="138"/>
      <c r="I226" s="139">
        <f>H10</f>
        <v>20</v>
      </c>
      <c r="J226" s="139"/>
    </row>
    <row r="227" spans="1:10" ht="12.75" customHeight="1" x14ac:dyDescent="0.2">
      <c r="A227" s="140"/>
      <c r="B227" s="140"/>
      <c r="C227" s="140"/>
      <c r="D227" s="140"/>
      <c r="E227" s="140"/>
      <c r="F227" s="140"/>
      <c r="G227" s="140"/>
      <c r="H227" s="140"/>
      <c r="I227" s="140"/>
      <c r="J227" s="140"/>
    </row>
    <row r="228" spans="1:10" ht="20.100000000000001" customHeight="1" x14ac:dyDescent="0.2">
      <c r="A228" s="141" t="s">
        <v>216</v>
      </c>
      <c r="B228" s="141"/>
      <c r="C228" s="141"/>
      <c r="D228" s="141"/>
      <c r="E228" s="141"/>
      <c r="F228" s="141"/>
      <c r="G228" s="141"/>
      <c r="H228" s="141"/>
      <c r="I228" s="139">
        <f>ROUND(I222*I226,2)</f>
        <v>511337.8</v>
      </c>
      <c r="J228" s="139"/>
    </row>
    <row r="229" spans="1:10" ht="12.75" customHeight="1" x14ac:dyDescent="0.2">
      <c r="A229" s="140"/>
      <c r="B229" s="140"/>
      <c r="C229" s="140"/>
      <c r="D229" s="140"/>
      <c r="E229" s="140"/>
      <c r="F229" s="140"/>
      <c r="G229" s="140"/>
      <c r="H229" s="140"/>
      <c r="I229" s="140"/>
      <c r="J229" s="140"/>
    </row>
    <row r="230" spans="1:10" ht="27.6" customHeight="1" x14ac:dyDescent="0.2">
      <c r="A230" s="134" t="s">
        <v>217</v>
      </c>
      <c r="B230" s="134"/>
      <c r="C230" s="134"/>
      <c r="D230" s="134"/>
      <c r="E230" s="134"/>
      <c r="F230" s="134"/>
      <c r="G230" s="134"/>
      <c r="H230" s="134"/>
      <c r="I230" s="134"/>
      <c r="J230" s="134"/>
    </row>
    <row r="231" spans="1:10" ht="12.75" customHeight="1" x14ac:dyDescent="0.2">
      <c r="A231" s="135" t="s">
        <v>218</v>
      </c>
      <c r="B231" s="135"/>
      <c r="C231" s="135"/>
      <c r="D231" s="135"/>
      <c r="E231" s="135"/>
      <c r="F231" s="135"/>
      <c r="G231" s="135" t="s">
        <v>219</v>
      </c>
      <c r="H231" s="135"/>
      <c r="I231" s="135"/>
      <c r="J231" s="135"/>
    </row>
    <row r="232" spans="1:10" x14ac:dyDescent="0.2">
      <c r="A232" s="136" t="s">
        <v>220</v>
      </c>
      <c r="B232" s="136"/>
      <c r="C232" s="136"/>
      <c r="D232" s="136"/>
      <c r="E232" s="136"/>
      <c r="F232" s="136"/>
      <c r="G232" s="137">
        <f>TRUNC(I224/J163,3)</f>
        <v>5.1509999999999998</v>
      </c>
      <c r="H232" s="137"/>
      <c r="I232" s="137"/>
      <c r="J232" s="137"/>
    </row>
  </sheetData>
  <sheetProtection selectLockedCells="1" selectUnlockedCells="1"/>
  <mergeCells count="340"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  <mergeCell ref="B8:G8"/>
    <mergeCell ref="H8:J8"/>
    <mergeCell ref="B9:G9"/>
    <mergeCell ref="H9:J9"/>
    <mergeCell ref="B10:G10"/>
    <mergeCell ref="H10:J10"/>
    <mergeCell ref="A11:J11"/>
    <mergeCell ref="A12:F12"/>
    <mergeCell ref="G12:H12"/>
    <mergeCell ref="I12:J12"/>
    <mergeCell ref="A13:F13"/>
    <mergeCell ref="G13:H13"/>
    <mergeCell ref="I13:J13"/>
    <mergeCell ref="A14:F14"/>
    <mergeCell ref="G14:H14"/>
    <mergeCell ref="I14:J14"/>
    <mergeCell ref="A15:F15"/>
    <mergeCell ref="G15:H15"/>
    <mergeCell ref="I15:J15"/>
    <mergeCell ref="A16:F16"/>
    <mergeCell ref="G16:H16"/>
    <mergeCell ref="I16:J16"/>
    <mergeCell ref="A17:F17"/>
    <mergeCell ref="G17:H17"/>
    <mergeCell ref="I17:J17"/>
    <mergeCell ref="A18:H18"/>
    <mergeCell ref="I18:J18"/>
    <mergeCell ref="A19:J19"/>
    <mergeCell ref="A20:G20"/>
    <mergeCell ref="H20:I20"/>
    <mergeCell ref="A21:G21"/>
    <mergeCell ref="H21:I21"/>
    <mergeCell ref="A22:I22"/>
    <mergeCell ref="A23:J23"/>
    <mergeCell ref="A24:G24"/>
    <mergeCell ref="H24:I24"/>
    <mergeCell ref="A25:G25"/>
    <mergeCell ref="H25:I25"/>
    <mergeCell ref="A26:G26"/>
    <mergeCell ref="H26:I26"/>
    <mergeCell ref="A27:I27"/>
    <mergeCell ref="A28:J28"/>
    <mergeCell ref="A29:I29"/>
    <mergeCell ref="A30:J30"/>
    <mergeCell ref="A31:J31"/>
    <mergeCell ref="A32:J32"/>
    <mergeCell ref="A33:J33"/>
    <mergeCell ref="B34:G34"/>
    <mergeCell ref="H34:J34"/>
    <mergeCell ref="B35:G35"/>
    <mergeCell ref="H35:J35"/>
    <mergeCell ref="B36:G36"/>
    <mergeCell ref="H36:J36"/>
    <mergeCell ref="B37:G37"/>
    <mergeCell ref="H37:J37"/>
    <mergeCell ref="B38:G38"/>
    <mergeCell ref="H38:J38"/>
    <mergeCell ref="A39:J39"/>
    <mergeCell ref="A40:J40"/>
    <mergeCell ref="B41:G41"/>
    <mergeCell ref="H41:I41"/>
    <mergeCell ref="B42:I42"/>
    <mergeCell ref="B43:H43"/>
    <mergeCell ref="A44:I44"/>
    <mergeCell ref="A45:J45"/>
    <mergeCell ref="A46:J46"/>
    <mergeCell ref="A47:J47"/>
    <mergeCell ref="B48:I48"/>
    <mergeCell ref="B49:H49"/>
    <mergeCell ref="B50:H50"/>
    <mergeCell ref="A51:I51"/>
    <mergeCell ref="B52:I52"/>
    <mergeCell ref="A53:I53"/>
    <mergeCell ref="A54:J54"/>
    <mergeCell ref="A55:J55"/>
    <mergeCell ref="B56:H56"/>
    <mergeCell ref="B57:H57"/>
    <mergeCell ref="B58:H58"/>
    <mergeCell ref="B59:D59"/>
    <mergeCell ref="B60:H60"/>
    <mergeCell ref="B61:H61"/>
    <mergeCell ref="B62:H62"/>
    <mergeCell ref="B63:H63"/>
    <mergeCell ref="B64:H64"/>
    <mergeCell ref="A65:H65"/>
    <mergeCell ref="A66:J66"/>
    <mergeCell ref="A67:J67"/>
    <mergeCell ref="B68:I68"/>
    <mergeCell ref="B69:I69"/>
    <mergeCell ref="B70:H70"/>
    <mergeCell ref="B71:H71"/>
    <mergeCell ref="B72:H72"/>
    <mergeCell ref="B73:I73"/>
    <mergeCell ref="B74:H74"/>
    <mergeCell ref="B75:H75"/>
    <mergeCell ref="B76:I76"/>
    <mergeCell ref="B77:I77"/>
    <mergeCell ref="A78:I78"/>
    <mergeCell ref="A79:J79"/>
    <mergeCell ref="A80:J80"/>
    <mergeCell ref="B81:I81"/>
    <mergeCell ref="C82:I82"/>
    <mergeCell ref="C83:I83"/>
    <mergeCell ref="C84:I84"/>
    <mergeCell ref="A85:I85"/>
    <mergeCell ref="A86:J86"/>
    <mergeCell ref="A87:J87"/>
    <mergeCell ref="B88:I88"/>
    <mergeCell ref="B89:I89"/>
    <mergeCell ref="B90:I90"/>
    <mergeCell ref="B91:H91"/>
    <mergeCell ref="B92:I92"/>
    <mergeCell ref="B93:I93"/>
    <mergeCell ref="B94:H94"/>
    <mergeCell ref="A95:I95"/>
    <mergeCell ref="A96:J96"/>
    <mergeCell ref="A97:J97"/>
    <mergeCell ref="A98:I98"/>
    <mergeCell ref="A99:J99"/>
    <mergeCell ref="B100:I100"/>
    <mergeCell ref="B101:H101"/>
    <mergeCell ref="B102:I102"/>
    <mergeCell ref="B103:I103"/>
    <mergeCell ref="B104:I104"/>
    <mergeCell ref="B105:I105"/>
    <mergeCell ref="B106:I106"/>
    <mergeCell ref="A107:I107"/>
    <mergeCell ref="B108:I108"/>
    <mergeCell ref="A109:I109"/>
    <mergeCell ref="A110:J110"/>
    <mergeCell ref="B111:I111"/>
    <mergeCell ref="B112:I112"/>
    <mergeCell ref="A113:I113"/>
    <mergeCell ref="B114:I114"/>
    <mergeCell ref="A115:I115"/>
    <mergeCell ref="A116:J116"/>
    <mergeCell ref="A117:J117"/>
    <mergeCell ref="B118:I118"/>
    <mergeCell ref="B119:I119"/>
    <mergeCell ref="B120:I120"/>
    <mergeCell ref="A121:I121"/>
    <mergeCell ref="A122:J122"/>
    <mergeCell ref="A123:J123"/>
    <mergeCell ref="B124:I124"/>
    <mergeCell ref="B125:I125"/>
    <mergeCell ref="B126:I126"/>
    <mergeCell ref="B127:I127"/>
    <mergeCell ref="B128:I128"/>
    <mergeCell ref="A129:I129"/>
    <mergeCell ref="A130:J130"/>
    <mergeCell ref="A131:J131"/>
    <mergeCell ref="B132:H132"/>
    <mergeCell ref="A133:H133"/>
    <mergeCell ref="B134:H134"/>
    <mergeCell ref="A135:H135"/>
    <mergeCell ref="B136:H136"/>
    <mergeCell ref="A137:H137"/>
    <mergeCell ref="B138:H138"/>
    <mergeCell ref="B139:H139"/>
    <mergeCell ref="B140:H140"/>
    <mergeCell ref="B141:H141"/>
    <mergeCell ref="B142:H142"/>
    <mergeCell ref="B143:H143"/>
    <mergeCell ref="B144:H144"/>
    <mergeCell ref="B145:H145"/>
    <mergeCell ref="B146:H146"/>
    <mergeCell ref="A147:I147"/>
    <mergeCell ref="A148:J148"/>
    <mergeCell ref="A149:H149"/>
    <mergeCell ref="A150:C152"/>
    <mergeCell ref="D150:J150"/>
    <mergeCell ref="D151:J151"/>
    <mergeCell ref="D152:J152"/>
    <mergeCell ref="A153:J153"/>
    <mergeCell ref="A154:J154"/>
    <mergeCell ref="A155:I155"/>
    <mergeCell ref="B156:I156"/>
    <mergeCell ref="B157:I157"/>
    <mergeCell ref="B158:I158"/>
    <mergeCell ref="B159:I159"/>
    <mergeCell ref="B160:I160"/>
    <mergeCell ref="A161:I161"/>
    <mergeCell ref="B162:I162"/>
    <mergeCell ref="A163:I163"/>
    <mergeCell ref="A164:J164"/>
    <mergeCell ref="A165:J165"/>
    <mergeCell ref="A166:C166"/>
    <mergeCell ref="D166:F166"/>
    <mergeCell ref="G166:H166"/>
    <mergeCell ref="I166:J166"/>
    <mergeCell ref="A167:C167"/>
    <mergeCell ref="G167:H167"/>
    <mergeCell ref="I167:J167"/>
    <mergeCell ref="A168:C168"/>
    <mergeCell ref="E168:F168"/>
    <mergeCell ref="G168:H168"/>
    <mergeCell ref="I168:J168"/>
    <mergeCell ref="A169:H169"/>
    <mergeCell ref="I169:J169"/>
    <mergeCell ref="A170:J170"/>
    <mergeCell ref="A171:C171"/>
    <mergeCell ref="G171:H171"/>
    <mergeCell ref="I171:J171"/>
    <mergeCell ref="A172:C172"/>
    <mergeCell ref="E172:F172"/>
    <mergeCell ref="G172:H172"/>
    <mergeCell ref="I172:J172"/>
    <mergeCell ref="A173:H173"/>
    <mergeCell ref="I173:J173"/>
    <mergeCell ref="A174:J174"/>
    <mergeCell ref="A175:C175"/>
    <mergeCell ref="G175:H175"/>
    <mergeCell ref="I175:J175"/>
    <mergeCell ref="A176:C176"/>
    <mergeCell ref="E176:F176"/>
    <mergeCell ref="G176:H176"/>
    <mergeCell ref="I176:J176"/>
    <mergeCell ref="A177:H177"/>
    <mergeCell ref="I177:J177"/>
    <mergeCell ref="A178:J178"/>
    <mergeCell ref="A179:C179"/>
    <mergeCell ref="G179:H179"/>
    <mergeCell ref="I179:J179"/>
    <mergeCell ref="A180:C180"/>
    <mergeCell ref="E180:F180"/>
    <mergeCell ref="G180:H180"/>
    <mergeCell ref="I180:J180"/>
    <mergeCell ref="A181:H181"/>
    <mergeCell ref="I181:J181"/>
    <mergeCell ref="A182:J182"/>
    <mergeCell ref="A183:C183"/>
    <mergeCell ref="G183:H183"/>
    <mergeCell ref="I183:J183"/>
    <mergeCell ref="A184:C184"/>
    <mergeCell ref="E184:F184"/>
    <mergeCell ref="G184:H184"/>
    <mergeCell ref="I184:J184"/>
    <mergeCell ref="A185:H185"/>
    <mergeCell ref="I185:J185"/>
    <mergeCell ref="A186:J186"/>
    <mergeCell ref="A187:C187"/>
    <mergeCell ref="G187:H187"/>
    <mergeCell ref="I187:J187"/>
    <mergeCell ref="A188:C188"/>
    <mergeCell ref="E188:F188"/>
    <mergeCell ref="G188:H188"/>
    <mergeCell ref="I188:J188"/>
    <mergeCell ref="A189:H189"/>
    <mergeCell ref="I189:J189"/>
    <mergeCell ref="A190:J190"/>
    <mergeCell ref="A191:C191"/>
    <mergeCell ref="G191:H191"/>
    <mergeCell ref="I191:J191"/>
    <mergeCell ref="A192:C192"/>
    <mergeCell ref="E192:F192"/>
    <mergeCell ref="G192:H192"/>
    <mergeCell ref="I192:J192"/>
    <mergeCell ref="A193:H193"/>
    <mergeCell ref="I193:J193"/>
    <mergeCell ref="A194:J194"/>
    <mergeCell ref="B195:D195"/>
    <mergeCell ref="F195:G195"/>
    <mergeCell ref="A196:J196"/>
    <mergeCell ref="C197:D197"/>
    <mergeCell ref="A198:I198"/>
    <mergeCell ref="C199:D199"/>
    <mergeCell ref="A200:I200"/>
    <mergeCell ref="C201:D201"/>
    <mergeCell ref="A202:I202"/>
    <mergeCell ref="A203:J203"/>
    <mergeCell ref="A204:J204"/>
    <mergeCell ref="A205:E205"/>
    <mergeCell ref="F205:G205"/>
    <mergeCell ref="I205:J205"/>
    <mergeCell ref="A206:E206"/>
    <mergeCell ref="F206:G206"/>
    <mergeCell ref="I206:J206"/>
    <mergeCell ref="A207:E207"/>
    <mergeCell ref="F207:G207"/>
    <mergeCell ref="I207:J207"/>
    <mergeCell ref="A208:E208"/>
    <mergeCell ref="F208:G208"/>
    <mergeCell ref="I208:J208"/>
    <mergeCell ref="A209:E209"/>
    <mergeCell ref="F209:G209"/>
    <mergeCell ref="I209:J209"/>
    <mergeCell ref="A210:E210"/>
    <mergeCell ref="F210:G210"/>
    <mergeCell ref="I210:J210"/>
    <mergeCell ref="A211:G211"/>
    <mergeCell ref="I211:J211"/>
    <mergeCell ref="A212:J212"/>
    <mergeCell ref="A213:E213"/>
    <mergeCell ref="F213:G213"/>
    <mergeCell ref="I213:J213"/>
    <mergeCell ref="A214:E214"/>
    <mergeCell ref="F214:G214"/>
    <mergeCell ref="I214:J214"/>
    <mergeCell ref="A215:G215"/>
    <mergeCell ref="I215:J215"/>
    <mergeCell ref="A216:J216"/>
    <mergeCell ref="A217:E217"/>
    <mergeCell ref="F217:G217"/>
    <mergeCell ref="I217:J217"/>
    <mergeCell ref="A218:E218"/>
    <mergeCell ref="F218:G218"/>
    <mergeCell ref="I218:J218"/>
    <mergeCell ref="A219:E219"/>
    <mergeCell ref="F219:G219"/>
    <mergeCell ref="I219:J219"/>
    <mergeCell ref="A220:G220"/>
    <mergeCell ref="I220:J220"/>
    <mergeCell ref="A221:J221"/>
    <mergeCell ref="A229:J229"/>
    <mergeCell ref="A222:G222"/>
    <mergeCell ref="I222:J222"/>
    <mergeCell ref="A223:J223"/>
    <mergeCell ref="A224:H224"/>
    <mergeCell ref="I224:J224"/>
    <mergeCell ref="A225:J225"/>
    <mergeCell ref="A230:J230"/>
    <mergeCell ref="A231:F231"/>
    <mergeCell ref="G231:J231"/>
    <mergeCell ref="A232:F232"/>
    <mergeCell ref="G232:J232"/>
    <mergeCell ref="A226:H226"/>
    <mergeCell ref="I226:J226"/>
    <mergeCell ref="A227:J227"/>
    <mergeCell ref="A228:H228"/>
    <mergeCell ref="I228:J228"/>
  </mergeCells>
  <pageMargins left="0.78749999999999998" right="0.78749999999999998" top="1.0631944444444446" bottom="1.0631944444444446" header="0.78749999999999998" footer="0.78749999999999998"/>
  <pageSetup paperSize="9" scale="70" firstPageNumber="0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0"/>
  <sheetViews>
    <sheetView view="pageBreakPreview" topLeftCell="A86" zoomScale="110" zoomScaleSheetLayoutView="110" workbookViewId="0">
      <selection activeCell="F108" sqref="F108"/>
    </sheetView>
  </sheetViews>
  <sheetFormatPr defaultColWidth="8.85546875" defaultRowHeight="12.75" x14ac:dyDescent="0.2"/>
  <cols>
    <col min="1" max="1" width="54.140625" style="85" customWidth="1"/>
    <col min="2" max="2" width="10" style="86" customWidth="1"/>
    <col min="3" max="3" width="13.42578125" style="86" customWidth="1"/>
    <col min="4" max="4" width="12.28515625" style="86" customWidth="1"/>
    <col min="5" max="5" width="11.28515625" style="87" customWidth="1"/>
    <col min="6" max="6" width="10.7109375" style="87" customWidth="1"/>
    <col min="7" max="7" width="10.5703125" style="85" customWidth="1"/>
    <col min="8" max="8" width="3.28515625" style="85" customWidth="1"/>
    <col min="9" max="16384" width="8.85546875" style="85"/>
  </cols>
  <sheetData>
    <row r="1" spans="1:256" ht="23.25" customHeight="1" x14ac:dyDescent="0.2">
      <c r="A1" s="227" t="s">
        <v>0</v>
      </c>
      <c r="B1" s="227"/>
      <c r="C1" s="227"/>
      <c r="D1" s="227"/>
      <c r="E1" s="227"/>
      <c r="F1" s="227"/>
      <c r="G1" s="227"/>
      <c r="H1" s="227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42" customHeight="1" x14ac:dyDescent="0.2">
      <c r="A2" s="228" t="s">
        <v>221</v>
      </c>
      <c r="B2" s="228"/>
      <c r="C2" s="228"/>
      <c r="D2" s="228"/>
      <c r="E2" s="228"/>
      <c r="F2" s="228"/>
      <c r="G2" s="228"/>
      <c r="H2" s="228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ht="12.75" customHeight="1" x14ac:dyDescent="0.2">
      <c r="A3" s="134" t="s">
        <v>2</v>
      </c>
      <c r="B3" s="134"/>
      <c r="C3" s="134"/>
      <c r="D3" s="134"/>
      <c r="E3" s="134"/>
      <c r="F3" s="243" t="s">
        <v>222</v>
      </c>
      <c r="G3" s="243"/>
      <c r="H3" s="24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ht="12.75" customHeight="1" x14ac:dyDescent="0.2">
      <c r="A4" s="134" t="s">
        <v>4</v>
      </c>
      <c r="B4" s="134"/>
      <c r="C4" s="134"/>
      <c r="D4" s="134"/>
      <c r="E4" s="134"/>
      <c r="F4" s="243" t="s">
        <v>222</v>
      </c>
      <c r="G4" s="243"/>
      <c r="H4" s="243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ht="12.75" customHeight="1" x14ac:dyDescent="0.2">
      <c r="A5" s="134" t="s">
        <v>5</v>
      </c>
      <c r="B5" s="134"/>
      <c r="C5" s="134"/>
      <c r="D5" s="134"/>
      <c r="E5" s="134"/>
      <c r="F5" s="243" t="s">
        <v>222</v>
      </c>
      <c r="G5" s="243"/>
      <c r="H5" s="243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ht="19.350000000000001" customHeight="1" x14ac:dyDescent="0.2">
      <c r="A6" s="244" t="s">
        <v>223</v>
      </c>
      <c r="B6" s="244"/>
      <c r="C6" s="244"/>
      <c r="D6" s="244"/>
      <c r="E6" s="244"/>
      <c r="F6" s="244"/>
      <c r="G6" s="244"/>
      <c r="H6" s="244"/>
    </row>
    <row r="7" spans="1:256" ht="25.5" x14ac:dyDescent="0.2">
      <c r="A7" s="88" t="s">
        <v>224</v>
      </c>
      <c r="B7" s="88" t="s">
        <v>225</v>
      </c>
      <c r="C7" s="88" t="s">
        <v>226</v>
      </c>
      <c r="D7" s="88" t="s">
        <v>328</v>
      </c>
      <c r="E7" s="89" t="s">
        <v>227</v>
      </c>
      <c r="F7" s="89" t="s">
        <v>329</v>
      </c>
    </row>
    <row r="8" spans="1:256" x14ac:dyDescent="0.2">
      <c r="A8" s="120" t="s">
        <v>228</v>
      </c>
      <c r="B8" s="90" t="s">
        <v>229</v>
      </c>
      <c r="C8" s="90">
        <v>10</v>
      </c>
      <c r="D8" s="90">
        <f>C8*20</f>
        <v>200</v>
      </c>
      <c r="E8" s="131">
        <v>7.87</v>
      </c>
      <c r="F8" s="91">
        <f>D8*E8</f>
        <v>1574</v>
      </c>
    </row>
    <row r="9" spans="1:256" x14ac:dyDescent="0.2">
      <c r="A9" s="129" t="s">
        <v>230</v>
      </c>
      <c r="B9" s="92" t="s">
        <v>231</v>
      </c>
      <c r="C9" s="93">
        <v>20</v>
      </c>
      <c r="D9" s="90">
        <f t="shared" ref="D9:D22" si="0">C9*20</f>
        <v>400</v>
      </c>
      <c r="E9" s="111">
        <v>8.4</v>
      </c>
      <c r="F9" s="91">
        <f>D9*E9</f>
        <v>3360</v>
      </c>
    </row>
    <row r="10" spans="1:256" x14ac:dyDescent="0.2">
      <c r="A10" s="129" t="s">
        <v>232</v>
      </c>
      <c r="B10" s="92" t="s">
        <v>233</v>
      </c>
      <c r="C10" s="93">
        <v>8</v>
      </c>
      <c r="D10" s="90">
        <f t="shared" si="0"/>
        <v>160</v>
      </c>
      <c r="E10" s="111">
        <v>13.48</v>
      </c>
      <c r="F10" s="91">
        <f>E10*D10</f>
        <v>2156.8000000000002</v>
      </c>
    </row>
    <row r="11" spans="1:256" x14ac:dyDescent="0.2">
      <c r="A11" s="132" t="s">
        <v>234</v>
      </c>
      <c r="B11" s="92" t="s">
        <v>233</v>
      </c>
      <c r="C11" s="93">
        <v>5</v>
      </c>
      <c r="D11" s="90">
        <f t="shared" si="0"/>
        <v>100</v>
      </c>
      <c r="E11" s="111">
        <v>3.57</v>
      </c>
      <c r="F11" s="91">
        <f>D11*E11</f>
        <v>357</v>
      </c>
    </row>
    <row r="12" spans="1:256" x14ac:dyDescent="0.2">
      <c r="A12" s="128" t="s">
        <v>235</v>
      </c>
      <c r="B12" s="92" t="s">
        <v>231</v>
      </c>
      <c r="C12" s="93">
        <v>40</v>
      </c>
      <c r="D12" s="90">
        <f t="shared" si="0"/>
        <v>800</v>
      </c>
      <c r="E12" s="111">
        <v>5.15</v>
      </c>
      <c r="F12" s="91">
        <f>D12*E12</f>
        <v>4120</v>
      </c>
    </row>
    <row r="13" spans="1:256" x14ac:dyDescent="0.2">
      <c r="A13" s="128" t="s">
        <v>236</v>
      </c>
      <c r="B13" s="92" t="s">
        <v>233</v>
      </c>
      <c r="C13" s="93">
        <v>10</v>
      </c>
      <c r="D13" s="90">
        <f t="shared" si="0"/>
        <v>200</v>
      </c>
      <c r="E13" s="111">
        <v>8.51</v>
      </c>
      <c r="F13" s="91">
        <f>D13*E13</f>
        <v>1702</v>
      </c>
    </row>
    <row r="14" spans="1:256" ht="25.5" x14ac:dyDescent="0.2">
      <c r="A14" s="133" t="s">
        <v>237</v>
      </c>
      <c r="B14" s="92" t="s">
        <v>233</v>
      </c>
      <c r="C14" s="93">
        <v>2</v>
      </c>
      <c r="D14" s="90">
        <f t="shared" si="0"/>
        <v>40</v>
      </c>
      <c r="E14" s="111">
        <v>7.1</v>
      </c>
      <c r="F14" s="91">
        <f>E14*12</f>
        <v>85.199999999999989</v>
      </c>
    </row>
    <row r="15" spans="1:256" x14ac:dyDescent="0.2">
      <c r="A15" s="128" t="s">
        <v>238</v>
      </c>
      <c r="B15" s="92" t="s">
        <v>231</v>
      </c>
      <c r="C15" s="93">
        <v>5</v>
      </c>
      <c r="D15" s="90">
        <f t="shared" si="0"/>
        <v>100</v>
      </c>
      <c r="E15" s="111">
        <v>6.48</v>
      </c>
      <c r="F15" s="91">
        <f>D15*E15</f>
        <v>648</v>
      </c>
    </row>
    <row r="16" spans="1:256" x14ac:dyDescent="0.2">
      <c r="A16" s="128" t="s">
        <v>239</v>
      </c>
      <c r="B16" s="92" t="s">
        <v>233</v>
      </c>
      <c r="C16" s="93">
        <v>10</v>
      </c>
      <c r="D16" s="90">
        <f t="shared" si="0"/>
        <v>200</v>
      </c>
      <c r="E16" s="111">
        <v>6.57</v>
      </c>
      <c r="F16" s="91">
        <f>D16*E16</f>
        <v>1314</v>
      </c>
    </row>
    <row r="17" spans="1:8" x14ac:dyDescent="0.2">
      <c r="A17" s="128" t="s">
        <v>240</v>
      </c>
      <c r="B17" s="92" t="s">
        <v>233</v>
      </c>
      <c r="C17" s="93">
        <v>8</v>
      </c>
      <c r="D17" s="90">
        <f t="shared" si="0"/>
        <v>160</v>
      </c>
      <c r="E17" s="111">
        <v>26.81</v>
      </c>
      <c r="F17" s="91">
        <f>E17*D17</f>
        <v>4289.5999999999995</v>
      </c>
    </row>
    <row r="18" spans="1:8" x14ac:dyDescent="0.2">
      <c r="A18" s="132" t="s">
        <v>241</v>
      </c>
      <c r="B18" s="92" t="s">
        <v>233</v>
      </c>
      <c r="C18" s="93">
        <v>3</v>
      </c>
      <c r="D18" s="90">
        <f t="shared" si="0"/>
        <v>60</v>
      </c>
      <c r="E18" s="111">
        <v>2.75</v>
      </c>
      <c r="F18" s="91">
        <f>E18*D18</f>
        <v>165</v>
      </c>
    </row>
    <row r="19" spans="1:8" s="94" customFormat="1" x14ac:dyDescent="0.2">
      <c r="A19" s="128" t="s">
        <v>242</v>
      </c>
      <c r="B19" s="92" t="s">
        <v>243</v>
      </c>
      <c r="C19" s="93">
        <v>1</v>
      </c>
      <c r="D19" s="90">
        <f t="shared" si="0"/>
        <v>20</v>
      </c>
      <c r="E19" s="111">
        <v>5.93</v>
      </c>
      <c r="F19" s="91">
        <f>E19*D19</f>
        <v>118.6</v>
      </c>
      <c r="G19" s="85"/>
      <c r="H19" s="85"/>
    </row>
    <row r="20" spans="1:8" x14ac:dyDescent="0.2">
      <c r="A20" s="128" t="s">
        <v>244</v>
      </c>
      <c r="B20" s="92" t="s">
        <v>245</v>
      </c>
      <c r="C20" s="93">
        <v>8</v>
      </c>
      <c r="D20" s="90">
        <f t="shared" si="0"/>
        <v>160</v>
      </c>
      <c r="E20" s="111">
        <v>4.5600000000000005</v>
      </c>
      <c r="F20" s="91">
        <f>D20*E20</f>
        <v>729.60000000000014</v>
      </c>
    </row>
    <row r="21" spans="1:8" x14ac:dyDescent="0.2">
      <c r="A21" s="120" t="s">
        <v>246</v>
      </c>
      <c r="B21" s="92" t="s">
        <v>233</v>
      </c>
      <c r="C21" s="93">
        <v>10</v>
      </c>
      <c r="D21" s="90">
        <f t="shared" si="0"/>
        <v>200</v>
      </c>
      <c r="E21" s="111">
        <v>2.76</v>
      </c>
      <c r="F21" s="91">
        <f>D21*E21</f>
        <v>552</v>
      </c>
    </row>
    <row r="22" spans="1:8" x14ac:dyDescent="0.2">
      <c r="A22" s="128" t="s">
        <v>247</v>
      </c>
      <c r="B22" s="92" t="s">
        <v>233</v>
      </c>
      <c r="C22" s="93">
        <v>10</v>
      </c>
      <c r="D22" s="90">
        <f t="shared" si="0"/>
        <v>200</v>
      </c>
      <c r="E22" s="111">
        <v>3.93</v>
      </c>
      <c r="F22" s="91">
        <f>D22*E22</f>
        <v>786</v>
      </c>
    </row>
    <row r="23" spans="1:8" ht="14.65" customHeight="1" x14ac:dyDescent="0.2">
      <c r="A23" s="241" t="s">
        <v>331</v>
      </c>
      <c r="B23" s="241"/>
      <c r="C23" s="241"/>
      <c r="D23" s="241"/>
      <c r="E23" s="241"/>
      <c r="F23" s="95">
        <f>SUM(F8:F22)</f>
        <v>21957.799999999996</v>
      </c>
    </row>
    <row r="24" spans="1:8" ht="14.65" customHeight="1" x14ac:dyDescent="0.2">
      <c r="A24" s="241" t="s">
        <v>248</v>
      </c>
      <c r="B24" s="241"/>
      <c r="C24" s="241"/>
      <c r="D24" s="241"/>
      <c r="E24" s="241"/>
      <c r="F24" s="95">
        <f>F23/20</f>
        <v>1097.8899999999999</v>
      </c>
    </row>
    <row r="25" spans="1:8" s="99" customFormat="1" x14ac:dyDescent="0.2">
      <c r="A25" s="96"/>
      <c r="B25" s="97"/>
      <c r="C25" s="97"/>
      <c r="D25" s="97"/>
      <c r="E25" s="98"/>
    </row>
    <row r="26" spans="1:8" s="99" customFormat="1" ht="25.5" x14ac:dyDescent="0.2">
      <c r="A26" s="88" t="s">
        <v>249</v>
      </c>
      <c r="B26" s="88" t="s">
        <v>225</v>
      </c>
      <c r="C26" s="88" t="s">
        <v>226</v>
      </c>
      <c r="D26" s="88" t="s">
        <v>328</v>
      </c>
      <c r="E26" s="89" t="s">
        <v>227</v>
      </c>
      <c r="F26" s="89" t="s">
        <v>329</v>
      </c>
    </row>
    <row r="27" spans="1:8" s="99" customFormat="1" ht="25.5" x14ac:dyDescent="0.2">
      <c r="A27" s="129" t="s">
        <v>250</v>
      </c>
      <c r="B27" s="92" t="s">
        <v>251</v>
      </c>
      <c r="C27" s="93">
        <v>10</v>
      </c>
      <c r="D27" s="93">
        <f>C27*20</f>
        <v>200</v>
      </c>
      <c r="E27" s="100">
        <v>49.47</v>
      </c>
      <c r="F27" s="100">
        <f>D27*E27</f>
        <v>9894</v>
      </c>
    </row>
    <row r="28" spans="1:8" s="99" customFormat="1" ht="25.5" x14ac:dyDescent="0.2">
      <c r="A28" s="129" t="s">
        <v>252</v>
      </c>
      <c r="B28" s="92" t="s">
        <v>243</v>
      </c>
      <c r="C28" s="93">
        <v>80</v>
      </c>
      <c r="D28" s="93">
        <f>C28*20</f>
        <v>1600</v>
      </c>
      <c r="E28" s="100">
        <v>8.4700000000000006</v>
      </c>
      <c r="F28" s="100">
        <f>D28*E28</f>
        <v>13552.000000000002</v>
      </c>
    </row>
    <row r="29" spans="1:8" s="99" customFormat="1" x14ac:dyDescent="0.2">
      <c r="A29" s="120" t="s">
        <v>253</v>
      </c>
      <c r="B29" s="90" t="s">
        <v>229</v>
      </c>
      <c r="C29" s="90">
        <v>5</v>
      </c>
      <c r="D29" s="93">
        <f>C29*20</f>
        <v>100</v>
      </c>
      <c r="E29" s="91">
        <v>25.59</v>
      </c>
      <c r="F29" s="100">
        <f>D29*E29</f>
        <v>2559</v>
      </c>
    </row>
    <row r="30" spans="1:8" s="99" customFormat="1" ht="14.65" customHeight="1" x14ac:dyDescent="0.2">
      <c r="A30" s="241" t="s">
        <v>330</v>
      </c>
      <c r="B30" s="241"/>
      <c r="C30" s="241"/>
      <c r="D30" s="241"/>
      <c r="E30" s="241"/>
      <c r="F30" s="101">
        <f>SUM(F27:F29)</f>
        <v>26005</v>
      </c>
    </row>
    <row r="31" spans="1:8" s="99" customFormat="1" ht="14.65" customHeight="1" x14ac:dyDescent="0.2">
      <c r="A31" s="241" t="s">
        <v>254</v>
      </c>
      <c r="B31" s="241"/>
      <c r="C31" s="241"/>
      <c r="D31" s="241"/>
      <c r="E31" s="241">
        <f>F30*12</f>
        <v>312060</v>
      </c>
      <c r="F31" s="102">
        <f>F30/20</f>
        <v>1300.25</v>
      </c>
    </row>
    <row r="33" spans="1:7" ht="27.6" customHeight="1" x14ac:dyDescent="0.2">
      <c r="A33" s="103" t="s">
        <v>255</v>
      </c>
      <c r="B33" s="88" t="s">
        <v>225</v>
      </c>
      <c r="C33" s="88" t="s">
        <v>256</v>
      </c>
      <c r="D33" s="88" t="s">
        <v>257</v>
      </c>
      <c r="E33" s="88" t="s">
        <v>328</v>
      </c>
      <c r="F33" s="89" t="s">
        <v>227</v>
      </c>
      <c r="G33" s="89" t="s">
        <v>329</v>
      </c>
    </row>
    <row r="34" spans="1:7" x14ac:dyDescent="0.2">
      <c r="A34" s="126" t="s">
        <v>258</v>
      </c>
      <c r="B34" s="92" t="s">
        <v>233</v>
      </c>
      <c r="C34" s="92">
        <v>12</v>
      </c>
      <c r="D34" s="93">
        <v>12</v>
      </c>
      <c r="E34" s="104">
        <f>20/D34*C34</f>
        <v>20</v>
      </c>
      <c r="F34" s="100">
        <v>19.5</v>
      </c>
      <c r="G34" s="105">
        <f t="shared" ref="G34:G46" si="1">E34*F34</f>
        <v>390</v>
      </c>
    </row>
    <row r="35" spans="1:7" x14ac:dyDescent="0.2">
      <c r="A35" s="126" t="s">
        <v>259</v>
      </c>
      <c r="B35" s="92" t="s">
        <v>233</v>
      </c>
      <c r="C35" s="92">
        <v>2</v>
      </c>
      <c r="D35" s="93">
        <v>24</v>
      </c>
      <c r="E35" s="104">
        <f t="shared" ref="E35:E57" si="2">20/D35*C35</f>
        <v>1.6666666666666667</v>
      </c>
      <c r="F35" s="100">
        <v>3</v>
      </c>
      <c r="G35" s="105">
        <f t="shared" si="1"/>
        <v>5</v>
      </c>
    </row>
    <row r="36" spans="1:7" x14ac:dyDescent="0.2">
      <c r="A36" s="126" t="s">
        <v>260</v>
      </c>
      <c r="B36" s="92" t="s">
        <v>233</v>
      </c>
      <c r="C36" s="92">
        <v>2</v>
      </c>
      <c r="D36" s="93">
        <v>12</v>
      </c>
      <c r="E36" s="104">
        <f t="shared" si="2"/>
        <v>3.3333333333333335</v>
      </c>
      <c r="F36" s="100">
        <v>5.87</v>
      </c>
      <c r="G36" s="105">
        <f t="shared" si="1"/>
        <v>19.566666666666666</v>
      </c>
    </row>
    <row r="37" spans="1:7" x14ac:dyDescent="0.2">
      <c r="A37" s="129" t="s">
        <v>261</v>
      </c>
      <c r="B37" s="92" t="s">
        <v>233</v>
      </c>
      <c r="C37" s="92">
        <v>5</v>
      </c>
      <c r="D37" s="93">
        <v>12</v>
      </c>
      <c r="E37" s="104">
        <f t="shared" si="2"/>
        <v>8.3333333333333339</v>
      </c>
      <c r="F37" s="100">
        <v>3.07</v>
      </c>
      <c r="G37" s="105">
        <f t="shared" si="1"/>
        <v>25.583333333333332</v>
      </c>
    </row>
    <row r="38" spans="1:7" x14ac:dyDescent="0.2">
      <c r="A38" s="126" t="s">
        <v>262</v>
      </c>
      <c r="B38" s="92" t="s">
        <v>233</v>
      </c>
      <c r="C38" s="92">
        <v>8</v>
      </c>
      <c r="D38" s="93">
        <v>12</v>
      </c>
      <c r="E38" s="104">
        <f t="shared" si="2"/>
        <v>13.333333333333334</v>
      </c>
      <c r="F38" s="100">
        <v>6.6</v>
      </c>
      <c r="G38" s="105">
        <f t="shared" si="1"/>
        <v>88</v>
      </c>
    </row>
    <row r="39" spans="1:7" x14ac:dyDescent="0.2">
      <c r="A39" s="128" t="s">
        <v>263</v>
      </c>
      <c r="B39" s="90" t="s">
        <v>233</v>
      </c>
      <c r="C39" s="90">
        <v>10</v>
      </c>
      <c r="D39" s="106">
        <v>1</v>
      </c>
      <c r="E39" s="104">
        <f t="shared" si="2"/>
        <v>200</v>
      </c>
      <c r="F39" s="100">
        <v>1.08</v>
      </c>
      <c r="G39" s="105">
        <f t="shared" si="1"/>
        <v>216</v>
      </c>
    </row>
    <row r="40" spans="1:7" x14ac:dyDescent="0.2">
      <c r="A40" s="126" t="s">
        <v>264</v>
      </c>
      <c r="B40" s="92" t="s">
        <v>233</v>
      </c>
      <c r="C40" s="90">
        <v>1</v>
      </c>
      <c r="D40" s="93">
        <v>60</v>
      </c>
      <c r="E40" s="104">
        <f t="shared" si="2"/>
        <v>0.33333333333333331</v>
      </c>
      <c r="F40" s="100">
        <v>349.05</v>
      </c>
      <c r="G40" s="105">
        <f t="shared" si="1"/>
        <v>116.35</v>
      </c>
    </row>
    <row r="41" spans="1:7" x14ac:dyDescent="0.2">
      <c r="A41" s="120" t="s">
        <v>265</v>
      </c>
      <c r="B41" s="90" t="s">
        <v>233</v>
      </c>
      <c r="C41" s="90">
        <v>15</v>
      </c>
      <c r="D41" s="106">
        <v>1</v>
      </c>
      <c r="E41" s="104">
        <f t="shared" si="2"/>
        <v>300</v>
      </c>
      <c r="F41" s="100">
        <v>2.09</v>
      </c>
      <c r="G41" s="105">
        <f t="shared" si="1"/>
        <v>627</v>
      </c>
    </row>
    <row r="42" spans="1:7" x14ac:dyDescent="0.2">
      <c r="A42" s="120" t="s">
        <v>266</v>
      </c>
      <c r="B42" s="90" t="s">
        <v>233</v>
      </c>
      <c r="C42" s="90">
        <v>3</v>
      </c>
      <c r="D42" s="106">
        <v>60</v>
      </c>
      <c r="E42" s="104">
        <f t="shared" si="2"/>
        <v>1</v>
      </c>
      <c r="F42" s="100">
        <v>164.32</v>
      </c>
      <c r="G42" s="105">
        <f t="shared" si="1"/>
        <v>164.32</v>
      </c>
    </row>
    <row r="43" spans="1:7" x14ac:dyDescent="0.2">
      <c r="A43" s="120" t="s">
        <v>267</v>
      </c>
      <c r="B43" s="90" t="s">
        <v>243</v>
      </c>
      <c r="C43" s="90">
        <v>6</v>
      </c>
      <c r="D43" s="106">
        <v>12</v>
      </c>
      <c r="E43" s="104">
        <f t="shared" si="2"/>
        <v>10</v>
      </c>
      <c r="F43" s="100">
        <v>1.72</v>
      </c>
      <c r="G43" s="105">
        <f t="shared" si="1"/>
        <v>17.2</v>
      </c>
    </row>
    <row r="44" spans="1:7" x14ac:dyDescent="0.2">
      <c r="A44" s="128" t="s">
        <v>268</v>
      </c>
      <c r="B44" s="90" t="s">
        <v>233</v>
      </c>
      <c r="C44" s="90">
        <v>5</v>
      </c>
      <c r="D44" s="106">
        <v>12</v>
      </c>
      <c r="E44" s="104">
        <f t="shared" si="2"/>
        <v>8.3333333333333339</v>
      </c>
      <c r="F44" s="100">
        <v>5.81</v>
      </c>
      <c r="G44" s="105">
        <f t="shared" si="1"/>
        <v>48.416666666666664</v>
      </c>
    </row>
    <row r="45" spans="1:7" x14ac:dyDescent="0.2">
      <c r="A45" s="128" t="s">
        <v>269</v>
      </c>
      <c r="B45" s="90" t="s">
        <v>233</v>
      </c>
      <c r="C45" s="90">
        <v>5</v>
      </c>
      <c r="D45" s="106">
        <v>1</v>
      </c>
      <c r="E45" s="104">
        <f t="shared" si="2"/>
        <v>100</v>
      </c>
      <c r="F45" s="100">
        <v>3.12</v>
      </c>
      <c r="G45" s="105">
        <f t="shared" si="1"/>
        <v>312</v>
      </c>
    </row>
    <row r="46" spans="1:7" x14ac:dyDescent="0.2">
      <c r="A46" s="128" t="s">
        <v>270</v>
      </c>
      <c r="B46" s="90" t="s">
        <v>233</v>
      </c>
      <c r="C46" s="90">
        <v>5</v>
      </c>
      <c r="D46" s="106">
        <v>3</v>
      </c>
      <c r="E46" s="104">
        <f t="shared" si="2"/>
        <v>33.333333333333336</v>
      </c>
      <c r="F46" s="100">
        <v>15.47</v>
      </c>
      <c r="G46" s="105">
        <f t="shared" si="1"/>
        <v>515.66666666666674</v>
      </c>
    </row>
    <row r="47" spans="1:7" x14ac:dyDescent="0.2">
      <c r="A47" s="128" t="s">
        <v>271</v>
      </c>
      <c r="B47" s="90" t="s">
        <v>233</v>
      </c>
      <c r="C47" s="90">
        <v>5</v>
      </c>
      <c r="D47" s="106">
        <v>1</v>
      </c>
      <c r="E47" s="104">
        <f t="shared" si="2"/>
        <v>100</v>
      </c>
      <c r="F47" s="100">
        <v>2.3199999999999998</v>
      </c>
      <c r="G47" s="105">
        <f>F47*E47</f>
        <v>231.99999999999997</v>
      </c>
    </row>
    <row r="48" spans="1:7" x14ac:dyDescent="0.2">
      <c r="A48" s="120" t="s">
        <v>272</v>
      </c>
      <c r="B48" s="90" t="s">
        <v>233</v>
      </c>
      <c r="C48" s="90">
        <v>5</v>
      </c>
      <c r="D48" s="106">
        <v>12</v>
      </c>
      <c r="E48" s="104">
        <f t="shared" si="2"/>
        <v>8.3333333333333339</v>
      </c>
      <c r="F48" s="100">
        <v>5.29</v>
      </c>
      <c r="G48" s="105">
        <f>E48*F48</f>
        <v>44.083333333333336</v>
      </c>
    </row>
    <row r="49" spans="1:8" x14ac:dyDescent="0.2">
      <c r="A49" s="120" t="s">
        <v>273</v>
      </c>
      <c r="B49" s="90" t="s">
        <v>233</v>
      </c>
      <c r="C49" s="90">
        <v>5</v>
      </c>
      <c r="D49" s="106">
        <v>60</v>
      </c>
      <c r="E49" s="104">
        <f t="shared" si="2"/>
        <v>1.6666666666666665</v>
      </c>
      <c r="F49" s="100">
        <v>59.3</v>
      </c>
      <c r="G49" s="105">
        <f>E49*F49</f>
        <v>98.833333333333314</v>
      </c>
    </row>
    <row r="50" spans="1:8" x14ac:dyDescent="0.2">
      <c r="A50" s="130" t="s">
        <v>274</v>
      </c>
      <c r="B50" s="90" t="s">
        <v>243</v>
      </c>
      <c r="C50" s="90">
        <v>2</v>
      </c>
      <c r="D50" s="106">
        <v>1</v>
      </c>
      <c r="E50" s="104">
        <f t="shared" si="2"/>
        <v>40</v>
      </c>
      <c r="F50" s="100">
        <v>14.69</v>
      </c>
      <c r="G50" s="105">
        <f>E50*F50</f>
        <v>587.6</v>
      </c>
    </row>
    <row r="51" spans="1:8" x14ac:dyDescent="0.2">
      <c r="A51" s="130" t="s">
        <v>275</v>
      </c>
      <c r="B51" s="90" t="s">
        <v>243</v>
      </c>
      <c r="C51" s="90">
        <v>2</v>
      </c>
      <c r="D51" s="106">
        <v>1</v>
      </c>
      <c r="E51" s="104">
        <f t="shared" si="2"/>
        <v>40</v>
      </c>
      <c r="F51" s="100">
        <v>15.93</v>
      </c>
      <c r="G51" s="105">
        <f>F51*E51</f>
        <v>637.20000000000005</v>
      </c>
    </row>
    <row r="52" spans="1:8" x14ac:dyDescent="0.2">
      <c r="A52" s="130" t="s">
        <v>276</v>
      </c>
      <c r="B52" s="90" t="s">
        <v>243</v>
      </c>
      <c r="C52" s="90">
        <v>4</v>
      </c>
      <c r="D52" s="106">
        <v>1</v>
      </c>
      <c r="E52" s="104">
        <f t="shared" si="2"/>
        <v>80</v>
      </c>
      <c r="F52" s="100">
        <v>11.38</v>
      </c>
      <c r="G52" s="105">
        <f>E52*F52</f>
        <v>910.40000000000009</v>
      </c>
    </row>
    <row r="53" spans="1:8" x14ac:dyDescent="0.2">
      <c r="A53" s="130" t="s">
        <v>277</v>
      </c>
      <c r="B53" s="90" t="s">
        <v>243</v>
      </c>
      <c r="C53" s="90">
        <v>4</v>
      </c>
      <c r="D53" s="106">
        <v>1</v>
      </c>
      <c r="E53" s="104">
        <f t="shared" si="2"/>
        <v>80</v>
      </c>
      <c r="F53" s="100">
        <v>8.6999999999999993</v>
      </c>
      <c r="G53" s="105">
        <f>F53*E53</f>
        <v>696</v>
      </c>
    </row>
    <row r="54" spans="1:8" x14ac:dyDescent="0.2">
      <c r="A54" s="130" t="s">
        <v>278</v>
      </c>
      <c r="B54" s="90" t="s">
        <v>233</v>
      </c>
      <c r="C54" s="90">
        <v>3</v>
      </c>
      <c r="D54" s="106">
        <v>60</v>
      </c>
      <c r="E54" s="104">
        <f t="shared" si="2"/>
        <v>1</v>
      </c>
      <c r="F54" s="100">
        <v>29.44</v>
      </c>
      <c r="G54" s="105">
        <f>F54*E54</f>
        <v>29.44</v>
      </c>
    </row>
    <row r="55" spans="1:8" x14ac:dyDescent="0.2">
      <c r="A55" s="128" t="s">
        <v>279</v>
      </c>
      <c r="B55" s="90" t="s">
        <v>233</v>
      </c>
      <c r="C55" s="90">
        <v>20</v>
      </c>
      <c r="D55" s="106">
        <v>12</v>
      </c>
      <c r="E55" s="104">
        <f t="shared" si="2"/>
        <v>33.333333333333336</v>
      </c>
      <c r="F55" s="100">
        <v>7.27</v>
      </c>
      <c r="G55" s="105">
        <f>E55*F55</f>
        <v>242.33333333333334</v>
      </c>
    </row>
    <row r="56" spans="1:8" x14ac:dyDescent="0.2">
      <c r="A56" s="120" t="s">
        <v>280</v>
      </c>
      <c r="B56" s="90" t="s">
        <v>233</v>
      </c>
      <c r="C56" s="90">
        <v>5</v>
      </c>
      <c r="D56" s="106">
        <v>30</v>
      </c>
      <c r="E56" s="104">
        <f t="shared" si="2"/>
        <v>3.333333333333333</v>
      </c>
      <c r="F56" s="100">
        <v>13.47</v>
      </c>
      <c r="G56" s="105">
        <f>E56*F56</f>
        <v>44.9</v>
      </c>
    </row>
    <row r="57" spans="1:8" x14ac:dyDescent="0.2">
      <c r="A57" s="120" t="s">
        <v>281</v>
      </c>
      <c r="B57" s="90" t="s">
        <v>233</v>
      </c>
      <c r="C57" s="90">
        <v>5</v>
      </c>
      <c r="D57" s="106">
        <v>30</v>
      </c>
      <c r="E57" s="104">
        <f t="shared" si="2"/>
        <v>3.333333333333333</v>
      </c>
      <c r="F57" s="100">
        <v>5.24</v>
      </c>
      <c r="G57" s="105">
        <f>E57*F57</f>
        <v>17.466666666666665</v>
      </c>
    </row>
    <row r="58" spans="1:8" ht="14.65" customHeight="1" x14ac:dyDescent="0.2">
      <c r="A58" s="238" t="s">
        <v>332</v>
      </c>
      <c r="B58" s="238"/>
      <c r="C58" s="238"/>
      <c r="D58" s="238"/>
      <c r="E58" s="238"/>
      <c r="F58" s="238"/>
      <c r="G58" s="107">
        <f>SUM(G34:G57)</f>
        <v>6085.36</v>
      </c>
    </row>
    <row r="59" spans="1:8" ht="14.65" customHeight="1" x14ac:dyDescent="0.2">
      <c r="A59" s="238" t="s">
        <v>282</v>
      </c>
      <c r="B59" s="238"/>
      <c r="C59" s="238"/>
      <c r="D59" s="238"/>
      <c r="E59" s="238"/>
      <c r="F59" s="238"/>
      <c r="G59" s="108">
        <f>G58/20</f>
        <v>304.26799999999997</v>
      </c>
    </row>
    <row r="61" spans="1:8" ht="38.25" x14ac:dyDescent="0.2">
      <c r="A61" s="103" t="s">
        <v>283</v>
      </c>
      <c r="B61" s="88" t="s">
        <v>225</v>
      </c>
      <c r="C61" s="88" t="s">
        <v>256</v>
      </c>
      <c r="D61" s="88" t="s">
        <v>284</v>
      </c>
      <c r="E61" s="88" t="s">
        <v>328</v>
      </c>
      <c r="F61" s="89" t="s">
        <v>227</v>
      </c>
      <c r="G61" s="89" t="s">
        <v>329</v>
      </c>
    </row>
    <row r="62" spans="1:8" s="94" customFormat="1" x14ac:dyDescent="0.2">
      <c r="A62" s="126" t="s">
        <v>285</v>
      </c>
      <c r="B62" s="93" t="s">
        <v>233</v>
      </c>
      <c r="C62" s="93">
        <v>1</v>
      </c>
      <c r="D62" s="93">
        <v>60</v>
      </c>
      <c r="E62" s="104">
        <f>20/D62*C62</f>
        <v>0.33333333333333331</v>
      </c>
      <c r="F62" s="100">
        <v>906.21</v>
      </c>
      <c r="G62" s="100">
        <f>E62*F62</f>
        <v>302.07</v>
      </c>
      <c r="H62" s="85"/>
    </row>
    <row r="63" spans="1:8" s="94" customFormat="1" x14ac:dyDescent="0.2">
      <c r="A63" s="126" t="s">
        <v>286</v>
      </c>
      <c r="B63" s="93" t="s">
        <v>233</v>
      </c>
      <c r="C63" s="93">
        <v>1</v>
      </c>
      <c r="D63" s="93">
        <v>60</v>
      </c>
      <c r="E63" s="104">
        <f t="shared" ref="E63:E71" si="3">20/D63*C63</f>
        <v>0.33333333333333331</v>
      </c>
      <c r="F63" s="100">
        <v>441.14</v>
      </c>
      <c r="G63" s="100">
        <f>F63*E63</f>
        <v>147.04666666666665</v>
      </c>
      <c r="H63" s="85"/>
    </row>
    <row r="64" spans="1:8" s="94" customFormat="1" x14ac:dyDescent="0.2">
      <c r="A64" s="126" t="s">
        <v>287</v>
      </c>
      <c r="B64" s="93" t="s">
        <v>233</v>
      </c>
      <c r="C64" s="93">
        <v>1</v>
      </c>
      <c r="D64" s="93">
        <v>30</v>
      </c>
      <c r="E64" s="104">
        <f t="shared" si="3"/>
        <v>0.66666666666666663</v>
      </c>
      <c r="F64" s="100">
        <v>193.45</v>
      </c>
      <c r="G64" s="100">
        <f>E64*F64</f>
        <v>128.96666666666664</v>
      </c>
      <c r="H64" s="85"/>
    </row>
    <row r="65" spans="1:8" s="94" customFormat="1" x14ac:dyDescent="0.2">
      <c r="A65" s="126" t="s">
        <v>288</v>
      </c>
      <c r="B65" s="93" t="s">
        <v>233</v>
      </c>
      <c r="C65" s="93">
        <v>1</v>
      </c>
      <c r="D65" s="93">
        <v>60</v>
      </c>
      <c r="E65" s="104">
        <f t="shared" si="3"/>
        <v>0.33333333333333331</v>
      </c>
      <c r="F65" s="100">
        <v>586.71</v>
      </c>
      <c r="G65" s="100">
        <f>F65*E65</f>
        <v>195.57</v>
      </c>
      <c r="H65" s="85"/>
    </row>
    <row r="66" spans="1:8" x14ac:dyDescent="0.2">
      <c r="A66" s="123" t="s">
        <v>289</v>
      </c>
      <c r="B66" s="93" t="s">
        <v>233</v>
      </c>
      <c r="C66" s="93">
        <v>1</v>
      </c>
      <c r="D66" s="93">
        <v>60</v>
      </c>
      <c r="E66" s="104">
        <f t="shared" si="3"/>
        <v>0.33333333333333331</v>
      </c>
      <c r="F66" s="100">
        <v>148.03</v>
      </c>
      <c r="G66" s="100">
        <f>E66*F66</f>
        <v>49.343333333333334</v>
      </c>
    </row>
    <row r="67" spans="1:8" x14ac:dyDescent="0.2">
      <c r="A67" s="123" t="s">
        <v>290</v>
      </c>
      <c r="B67" s="93" t="s">
        <v>233</v>
      </c>
      <c r="C67" s="93">
        <v>2</v>
      </c>
      <c r="D67" s="93">
        <v>60</v>
      </c>
      <c r="E67" s="104">
        <f t="shared" si="3"/>
        <v>0.66666666666666663</v>
      </c>
      <c r="F67" s="100">
        <v>348.55</v>
      </c>
      <c r="G67" s="100">
        <f>E67*F67</f>
        <v>232.36666666666667</v>
      </c>
    </row>
    <row r="68" spans="1:8" x14ac:dyDescent="0.2">
      <c r="A68" s="123" t="s">
        <v>291</v>
      </c>
      <c r="B68" s="93" t="s">
        <v>292</v>
      </c>
      <c r="C68" s="93">
        <v>5</v>
      </c>
      <c r="D68" s="93">
        <v>12</v>
      </c>
      <c r="E68" s="104">
        <f t="shared" si="3"/>
        <v>8.3333333333333339</v>
      </c>
      <c r="F68" s="100">
        <v>40.96</v>
      </c>
      <c r="G68" s="100">
        <f>E68*F68</f>
        <v>341.33333333333337</v>
      </c>
    </row>
    <row r="69" spans="1:8" x14ac:dyDescent="0.2">
      <c r="A69" s="127" t="s">
        <v>293</v>
      </c>
      <c r="B69" s="93" t="s">
        <v>292</v>
      </c>
      <c r="C69" s="93">
        <v>5</v>
      </c>
      <c r="D69" s="93">
        <v>12</v>
      </c>
      <c r="E69" s="104">
        <f t="shared" si="3"/>
        <v>8.3333333333333339</v>
      </c>
      <c r="F69" s="100">
        <v>36.99</v>
      </c>
      <c r="G69" s="100">
        <f>E69*F69</f>
        <v>308.25000000000006</v>
      </c>
    </row>
    <row r="70" spans="1:8" x14ac:dyDescent="0.2">
      <c r="A70" s="128" t="s">
        <v>294</v>
      </c>
      <c r="B70" s="90" t="s">
        <v>233</v>
      </c>
      <c r="C70" s="90">
        <v>5</v>
      </c>
      <c r="D70" s="106">
        <v>60</v>
      </c>
      <c r="E70" s="104">
        <f t="shared" si="3"/>
        <v>1.6666666666666665</v>
      </c>
      <c r="F70" s="100">
        <v>79.47</v>
      </c>
      <c r="G70" s="100">
        <f>E70*F70</f>
        <v>132.44999999999999</v>
      </c>
    </row>
    <row r="71" spans="1:8" x14ac:dyDescent="0.2">
      <c r="A71" s="128" t="s">
        <v>295</v>
      </c>
      <c r="B71" s="90" t="s">
        <v>233</v>
      </c>
      <c r="C71" s="90">
        <v>1</v>
      </c>
      <c r="D71" s="106">
        <v>60</v>
      </c>
      <c r="E71" s="104">
        <f t="shared" si="3"/>
        <v>0.33333333333333331</v>
      </c>
      <c r="F71" s="100">
        <v>1574.85</v>
      </c>
      <c r="G71" s="100">
        <f>F71*E71</f>
        <v>524.94999999999993</v>
      </c>
    </row>
    <row r="72" spans="1:8" ht="12.75" customHeight="1" x14ac:dyDescent="0.2">
      <c r="A72" s="238" t="s">
        <v>334</v>
      </c>
      <c r="B72" s="238"/>
      <c r="C72" s="238"/>
      <c r="D72" s="238"/>
      <c r="E72" s="238"/>
      <c r="F72" s="238"/>
      <c r="G72" s="102">
        <f>SUM(G62:G70)</f>
        <v>1837.3966666666668</v>
      </c>
    </row>
    <row r="73" spans="1:8" x14ac:dyDescent="0.2">
      <c r="A73" s="238" t="s">
        <v>296</v>
      </c>
      <c r="B73" s="238"/>
      <c r="C73" s="238"/>
      <c r="D73" s="238"/>
      <c r="E73" s="238"/>
      <c r="F73" s="238"/>
      <c r="G73" s="102">
        <f>G72/20</f>
        <v>91.869833333333332</v>
      </c>
    </row>
    <row r="75" spans="1:8" ht="25.5" x14ac:dyDescent="0.2">
      <c r="A75" s="109" t="s">
        <v>297</v>
      </c>
      <c r="B75" s="88" t="s">
        <v>225</v>
      </c>
      <c r="C75" s="88" t="s">
        <v>328</v>
      </c>
      <c r="D75" s="89" t="s">
        <v>227</v>
      </c>
      <c r="E75" s="89" t="s">
        <v>329</v>
      </c>
      <c r="F75" s="85"/>
    </row>
    <row r="76" spans="1:8" ht="25.5" x14ac:dyDescent="0.2">
      <c r="A76" s="123" t="s">
        <v>298</v>
      </c>
      <c r="B76" s="93" t="s">
        <v>233</v>
      </c>
      <c r="C76" s="110">
        <v>4</v>
      </c>
      <c r="D76" s="100">
        <v>30.64</v>
      </c>
      <c r="E76" s="111">
        <f>C76*D76</f>
        <v>122.56</v>
      </c>
      <c r="F76" s="85"/>
    </row>
    <row r="77" spans="1:8" x14ac:dyDescent="0.2">
      <c r="A77" s="123" t="s">
        <v>299</v>
      </c>
      <c r="B77" s="93" t="s">
        <v>233</v>
      </c>
      <c r="C77" s="110">
        <v>4</v>
      </c>
      <c r="D77" s="100">
        <v>18.010000000000002</v>
      </c>
      <c r="E77" s="111">
        <f>C77*D77</f>
        <v>72.040000000000006</v>
      </c>
      <c r="F77" s="85"/>
    </row>
    <row r="78" spans="1:8" x14ac:dyDescent="0.2">
      <c r="A78" s="123" t="s">
        <v>300</v>
      </c>
      <c r="B78" s="93" t="s">
        <v>233</v>
      </c>
      <c r="C78" s="110">
        <v>4</v>
      </c>
      <c r="D78" s="100">
        <v>19.93</v>
      </c>
      <c r="E78" s="111">
        <f>C78*D78</f>
        <v>79.72</v>
      </c>
      <c r="F78" s="85"/>
    </row>
    <row r="79" spans="1:8" ht="25.5" x14ac:dyDescent="0.2">
      <c r="A79" s="123" t="s">
        <v>301</v>
      </c>
      <c r="B79" s="93" t="s">
        <v>233</v>
      </c>
      <c r="C79" s="110">
        <v>2</v>
      </c>
      <c r="D79" s="100">
        <v>116.67</v>
      </c>
      <c r="E79" s="111">
        <f>C79*D79</f>
        <v>233.34</v>
      </c>
      <c r="F79" s="85"/>
    </row>
    <row r="80" spans="1:8" x14ac:dyDescent="0.2">
      <c r="A80" s="123" t="s">
        <v>302</v>
      </c>
      <c r="B80" s="93" t="s">
        <v>233</v>
      </c>
      <c r="C80" s="110">
        <v>4</v>
      </c>
      <c r="D80" s="100">
        <v>67.790000000000006</v>
      </c>
      <c r="E80" s="111">
        <f>D80*C80</f>
        <v>271.16000000000003</v>
      </c>
      <c r="F80" s="85"/>
    </row>
    <row r="81" spans="1:8" ht="25.5" x14ac:dyDescent="0.2">
      <c r="A81" s="123" t="s">
        <v>303</v>
      </c>
      <c r="B81" s="93" t="s">
        <v>304</v>
      </c>
      <c r="C81" s="110">
        <v>4</v>
      </c>
      <c r="D81" s="100">
        <v>83.56</v>
      </c>
      <c r="E81" s="111">
        <f>C81*D81</f>
        <v>334.24</v>
      </c>
      <c r="F81" s="85"/>
    </row>
    <row r="82" spans="1:8" ht="25.5" x14ac:dyDescent="0.2">
      <c r="A82" s="124" t="s">
        <v>305</v>
      </c>
      <c r="B82" s="93" t="s">
        <v>304</v>
      </c>
      <c r="C82" s="110">
        <v>2</v>
      </c>
      <c r="D82" s="100">
        <v>35.14</v>
      </c>
      <c r="E82" s="111">
        <f>D82*C82</f>
        <v>70.28</v>
      </c>
      <c r="F82" s="85"/>
    </row>
    <row r="83" spans="1:8" x14ac:dyDescent="0.2">
      <c r="A83" s="125" t="s">
        <v>306</v>
      </c>
      <c r="B83" s="92" t="s">
        <v>304</v>
      </c>
      <c r="C83" s="112">
        <v>20</v>
      </c>
      <c r="D83" s="122">
        <v>2.89</v>
      </c>
      <c r="E83" s="113">
        <f>C83*D83</f>
        <v>57.800000000000004</v>
      </c>
      <c r="F83" s="85"/>
    </row>
    <row r="84" spans="1:8" ht="13.15" customHeight="1" x14ac:dyDescent="0.2">
      <c r="A84" s="242" t="s">
        <v>335</v>
      </c>
      <c r="B84" s="242"/>
      <c r="C84" s="242"/>
      <c r="D84" s="242"/>
      <c r="E84" s="114">
        <f>SUM(E76:E83)</f>
        <v>1241.1400000000001</v>
      </c>
      <c r="F84" s="85"/>
    </row>
    <row r="85" spans="1:8" x14ac:dyDescent="0.2">
      <c r="A85" s="238" t="s">
        <v>307</v>
      </c>
      <c r="B85" s="238"/>
      <c r="C85" s="238"/>
      <c r="D85" s="238"/>
      <c r="E85" s="108">
        <f>E84/20</f>
        <v>62.057000000000002</v>
      </c>
    </row>
    <row r="87" spans="1:8" ht="38.85" customHeight="1" x14ac:dyDescent="0.2">
      <c r="A87" s="115" t="s">
        <v>308</v>
      </c>
      <c r="B87" s="239" t="s">
        <v>333</v>
      </c>
      <c r="C87" s="239"/>
      <c r="D87" s="240" t="s">
        <v>309</v>
      </c>
      <c r="E87" s="240"/>
      <c r="F87" s="239" t="s">
        <v>310</v>
      </c>
      <c r="G87" s="239"/>
      <c r="H87" s="239"/>
    </row>
    <row r="88" spans="1:8" ht="14.65" customHeight="1" x14ac:dyDescent="0.2">
      <c r="A88" s="116" t="s">
        <v>311</v>
      </c>
      <c r="B88" s="237">
        <f>F23</f>
        <v>21957.799999999996</v>
      </c>
      <c r="C88" s="237">
        <f>SUM(B88:B88)</f>
        <v>21957.799999999996</v>
      </c>
      <c r="D88" s="237">
        <f>B88/20</f>
        <v>1097.8899999999999</v>
      </c>
      <c r="E88" s="237"/>
      <c r="F88" s="234">
        <f>D88/H99</f>
        <v>219.57799999999997</v>
      </c>
      <c r="G88" s="234"/>
      <c r="H88" s="234"/>
    </row>
    <row r="89" spans="1:8" ht="12.75" customHeight="1" x14ac:dyDescent="0.2">
      <c r="A89" s="116" t="s">
        <v>312</v>
      </c>
      <c r="B89" s="237">
        <f>F30</f>
        <v>26005</v>
      </c>
      <c r="C89" s="237">
        <f>SUM(B89:B89)</f>
        <v>26005</v>
      </c>
      <c r="D89" s="237">
        <f>B89/20</f>
        <v>1300.25</v>
      </c>
      <c r="E89" s="237"/>
      <c r="F89" s="234">
        <f>D89/H99</f>
        <v>260.05</v>
      </c>
      <c r="G89" s="234"/>
      <c r="H89" s="234"/>
    </row>
    <row r="90" spans="1:8" ht="14.65" customHeight="1" x14ac:dyDescent="0.2">
      <c r="A90" s="116" t="s">
        <v>313</v>
      </c>
      <c r="B90" s="237">
        <f>G58</f>
        <v>6085.36</v>
      </c>
      <c r="C90" s="237">
        <f>SUM(B90:B90)</f>
        <v>6085.36</v>
      </c>
      <c r="D90" s="237">
        <f>B90/20</f>
        <v>304.26799999999997</v>
      </c>
      <c r="E90" s="237"/>
      <c r="F90" s="234">
        <f>D90/H99</f>
        <v>60.853599999999993</v>
      </c>
      <c r="G90" s="234"/>
      <c r="H90" s="234"/>
    </row>
    <row r="91" spans="1:8" ht="13.15" customHeight="1" x14ac:dyDescent="0.2">
      <c r="A91" s="102" t="s">
        <v>314</v>
      </c>
      <c r="B91" s="235">
        <f>SUM(B88:B90)</f>
        <v>54048.159999999996</v>
      </c>
      <c r="C91" s="235">
        <f>SUM(B91:B91)</f>
        <v>54048.159999999996</v>
      </c>
      <c r="D91" s="235">
        <f>B91/20</f>
        <v>2702.4079999999999</v>
      </c>
      <c r="E91" s="235"/>
      <c r="F91" s="230">
        <f>F88+F89+F90</f>
        <v>540.48159999999996</v>
      </c>
      <c r="G91" s="230"/>
      <c r="H91" s="230"/>
    </row>
    <row r="92" spans="1:8" ht="13.15" customHeight="1" x14ac:dyDescent="0.2">
      <c r="A92" s="236"/>
      <c r="B92" s="236"/>
      <c r="C92" s="236"/>
      <c r="D92" s="236"/>
      <c r="E92" s="236"/>
      <c r="F92" s="234"/>
      <c r="G92" s="234"/>
      <c r="H92" s="234"/>
    </row>
    <row r="93" spans="1:8" ht="12.75" customHeight="1" x14ac:dyDescent="0.2">
      <c r="A93" s="102" t="s">
        <v>283</v>
      </c>
      <c r="B93" s="235">
        <f>G72</f>
        <v>1837.3966666666668</v>
      </c>
      <c r="C93" s="235"/>
      <c r="D93" s="235">
        <f>B93/20</f>
        <v>91.869833333333332</v>
      </c>
      <c r="E93" s="235"/>
      <c r="F93" s="230">
        <f>D93/H99</f>
        <v>18.373966666666668</v>
      </c>
      <c r="G93" s="230"/>
      <c r="H93" s="230"/>
    </row>
    <row r="94" spans="1:8" ht="12.75" customHeight="1" x14ac:dyDescent="0.2">
      <c r="A94" s="233"/>
      <c r="B94" s="233"/>
      <c r="C94" s="233"/>
      <c r="D94" s="233"/>
      <c r="E94" s="233"/>
      <c r="F94" s="234"/>
      <c r="G94" s="234"/>
      <c r="H94" s="234"/>
    </row>
    <row r="95" spans="1:8" ht="13.15" customHeight="1" x14ac:dyDescent="0.2">
      <c r="A95" s="102" t="s">
        <v>297</v>
      </c>
      <c r="B95" s="235">
        <f>E84</f>
        <v>1241.1400000000001</v>
      </c>
      <c r="C95" s="235"/>
      <c r="D95" s="235">
        <f>B95/20</f>
        <v>62.057000000000002</v>
      </c>
      <c r="E95" s="235"/>
      <c r="F95" s="230">
        <f>D95</f>
        <v>62.057000000000002</v>
      </c>
      <c r="G95" s="230"/>
      <c r="H95" s="230"/>
    </row>
    <row r="96" spans="1:8" ht="12.75" customHeight="1" x14ac:dyDescent="0.2">
      <c r="A96" s="233"/>
      <c r="B96" s="233"/>
      <c r="C96" s="233"/>
      <c r="D96" s="233"/>
      <c r="E96" s="233"/>
      <c r="F96" s="234"/>
      <c r="G96" s="234"/>
      <c r="H96" s="234"/>
    </row>
    <row r="97" spans="1:8" ht="12.75" customHeight="1" x14ac:dyDescent="0.2">
      <c r="A97" s="102" t="s">
        <v>315</v>
      </c>
      <c r="B97" s="229">
        <f>B91+B93+B95</f>
        <v>57126.696666666663</v>
      </c>
      <c r="C97" s="229"/>
      <c r="D97" s="229">
        <f>B97/20</f>
        <v>2856.3348333333333</v>
      </c>
      <c r="E97" s="229"/>
      <c r="F97" s="230">
        <f>F91+F93+F95</f>
        <v>620.91256666666663</v>
      </c>
      <c r="G97" s="230"/>
      <c r="H97" s="230"/>
    </row>
    <row r="98" spans="1:8" x14ac:dyDescent="0.2">
      <c r="A98" s="117"/>
      <c r="B98" s="118"/>
      <c r="C98" s="118"/>
      <c r="D98" s="118"/>
      <c r="E98" s="118"/>
    </row>
    <row r="99" spans="1:8" ht="31.35" customHeight="1" x14ac:dyDescent="0.2">
      <c r="A99" s="231" t="s">
        <v>316</v>
      </c>
      <c r="B99" s="231"/>
      <c r="C99" s="231"/>
      <c r="D99" s="231"/>
      <c r="E99" s="231"/>
      <c r="F99" s="231"/>
      <c r="G99" s="231"/>
      <c r="H99" s="119">
        <v>5</v>
      </c>
    </row>
    <row r="100" spans="1:8" x14ac:dyDescent="0.2">
      <c r="A100" s="232" t="s">
        <v>317</v>
      </c>
      <c r="B100" s="232"/>
      <c r="C100" s="232"/>
      <c r="D100" s="232"/>
      <c r="E100" s="232"/>
      <c r="F100" s="232"/>
      <c r="G100" s="232"/>
    </row>
  </sheetData>
  <sheetProtection selectLockedCells="1" selectUnlockedCells="1"/>
  <mergeCells count="51">
    <mergeCell ref="A1:H1"/>
    <mergeCell ref="A2:H2"/>
    <mergeCell ref="A3:E3"/>
    <mergeCell ref="F3:H3"/>
    <mergeCell ref="A4:E4"/>
    <mergeCell ref="F4:H4"/>
    <mergeCell ref="A5:E5"/>
    <mergeCell ref="F5:H5"/>
    <mergeCell ref="A6:H6"/>
    <mergeCell ref="A23:E23"/>
    <mergeCell ref="A24:E24"/>
    <mergeCell ref="A30:E30"/>
    <mergeCell ref="A31:E31"/>
    <mergeCell ref="A58:F58"/>
    <mergeCell ref="A59:F59"/>
    <mergeCell ref="A72:F72"/>
    <mergeCell ref="A73:F73"/>
    <mergeCell ref="A84:D84"/>
    <mergeCell ref="A85:D85"/>
    <mergeCell ref="B87:C87"/>
    <mergeCell ref="D87:E87"/>
    <mergeCell ref="F87:H87"/>
    <mergeCell ref="B88:C88"/>
    <mergeCell ref="D88:E88"/>
    <mergeCell ref="F88:H88"/>
    <mergeCell ref="B89:C89"/>
    <mergeCell ref="D89:E89"/>
    <mergeCell ref="F89:H89"/>
    <mergeCell ref="B90:C90"/>
    <mergeCell ref="D90:E90"/>
    <mergeCell ref="F90:H90"/>
    <mergeCell ref="A96:E96"/>
    <mergeCell ref="F96:H96"/>
    <mergeCell ref="B91:C91"/>
    <mergeCell ref="D91:E91"/>
    <mergeCell ref="F91:H91"/>
    <mergeCell ref="A92:E92"/>
    <mergeCell ref="F92:H92"/>
    <mergeCell ref="B93:C93"/>
    <mergeCell ref="D93:E93"/>
    <mergeCell ref="F93:H93"/>
    <mergeCell ref="B97:C97"/>
    <mergeCell ref="D97:E97"/>
    <mergeCell ref="F97:H97"/>
    <mergeCell ref="A99:G99"/>
    <mergeCell ref="A100:G100"/>
    <mergeCell ref="A94:E94"/>
    <mergeCell ref="F94:H94"/>
    <mergeCell ref="B95:C95"/>
    <mergeCell ref="D95:E95"/>
    <mergeCell ref="F95:H95"/>
  </mergeCells>
  <pageMargins left="0.78749999999999998" right="0.78749999999999998" top="1.0527777777777778" bottom="1.0527777777777778" header="0.78749999999999998" footer="0.78749999999999998"/>
  <pageSetup paperSize="9" scale="67" firstPageNumber="0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  <rowBreaks count="1" manualBreakCount="1">
    <brk id="5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view="pageBreakPreview" zoomScaleSheetLayoutView="100" workbookViewId="0">
      <selection activeCell="A12" sqref="A12:J12"/>
    </sheetView>
  </sheetViews>
  <sheetFormatPr defaultColWidth="9" defaultRowHeight="12.75" x14ac:dyDescent="0.2"/>
  <cols>
    <col min="1" max="7" width="9" customWidth="1"/>
    <col min="8" max="8" width="15.42578125" customWidth="1"/>
    <col min="9" max="9" width="6.5703125" customWidth="1"/>
    <col min="10" max="10" width="6.85546875" customWidth="1"/>
  </cols>
  <sheetData>
    <row r="1" spans="1:10" ht="24" customHeight="1" x14ac:dyDescent="0.2">
      <c r="A1" s="227" t="s">
        <v>0</v>
      </c>
      <c r="B1" s="227"/>
      <c r="C1" s="227"/>
      <c r="D1" s="227"/>
      <c r="E1" s="227"/>
      <c r="F1" s="227"/>
      <c r="G1" s="227"/>
      <c r="H1" s="227"/>
      <c r="I1" s="227"/>
      <c r="J1" s="227"/>
    </row>
    <row r="2" spans="1:10" ht="62.25" customHeight="1" x14ac:dyDescent="0.2">
      <c r="A2" s="228" t="s">
        <v>318</v>
      </c>
      <c r="B2" s="228"/>
      <c r="C2" s="228"/>
      <c r="D2" s="228"/>
      <c r="E2" s="228"/>
      <c r="F2" s="228"/>
      <c r="G2" s="228"/>
      <c r="H2" s="228"/>
      <c r="I2" s="228"/>
      <c r="J2" s="228"/>
    </row>
    <row r="3" spans="1:10" ht="12.75" customHeight="1" x14ac:dyDescent="0.2">
      <c r="A3" s="134" t="s">
        <v>2</v>
      </c>
      <c r="B3" s="134"/>
      <c r="C3" s="134"/>
      <c r="D3" s="134"/>
      <c r="E3" s="134"/>
      <c r="F3" s="134"/>
      <c r="G3" s="134"/>
      <c r="H3" s="222" t="s">
        <v>319</v>
      </c>
      <c r="I3" s="222"/>
      <c r="J3" s="222"/>
    </row>
    <row r="4" spans="1:10" ht="12.75" customHeight="1" x14ac:dyDescent="0.2">
      <c r="A4" s="134" t="s">
        <v>4</v>
      </c>
      <c r="B4" s="134"/>
      <c r="C4" s="134"/>
      <c r="D4" s="134"/>
      <c r="E4" s="134"/>
      <c r="F4" s="134"/>
      <c r="G4" s="134"/>
      <c r="H4" s="222"/>
      <c r="I4" s="222"/>
      <c r="J4" s="222"/>
    </row>
    <row r="5" spans="1:10" ht="12.75" customHeight="1" x14ac:dyDescent="0.2">
      <c r="A5" s="134" t="s">
        <v>320</v>
      </c>
      <c r="B5" s="134"/>
      <c r="C5" s="134"/>
      <c r="D5" s="134"/>
      <c r="E5" s="134"/>
      <c r="F5" s="134"/>
      <c r="G5" s="134"/>
      <c r="H5" s="222"/>
      <c r="I5" s="222"/>
      <c r="J5" s="222"/>
    </row>
    <row r="6" spans="1:10" ht="15" customHeight="1" x14ac:dyDescent="0.2">
      <c r="A6" s="225" t="s">
        <v>6</v>
      </c>
      <c r="B6" s="225"/>
      <c r="C6" s="225"/>
      <c r="D6" s="225"/>
      <c r="E6" s="225"/>
      <c r="F6" s="225"/>
      <c r="G6" s="225"/>
      <c r="H6" s="225"/>
      <c r="I6" s="225"/>
      <c r="J6" s="225"/>
    </row>
    <row r="7" spans="1:10" ht="12.75" customHeight="1" x14ac:dyDescent="0.2">
      <c r="A7" s="1" t="s">
        <v>7</v>
      </c>
      <c r="B7" s="134" t="s">
        <v>8</v>
      </c>
      <c r="C7" s="134"/>
      <c r="D7" s="134"/>
      <c r="E7" s="134"/>
      <c r="F7" s="134"/>
      <c r="G7" s="134"/>
      <c r="H7" s="226"/>
      <c r="I7" s="226"/>
      <c r="J7" s="226"/>
    </row>
    <row r="8" spans="1:10" ht="12.75" customHeight="1" x14ac:dyDescent="0.2">
      <c r="A8" s="1" t="s">
        <v>9</v>
      </c>
      <c r="B8" s="134" t="s">
        <v>10</v>
      </c>
      <c r="C8" s="134"/>
      <c r="D8" s="134"/>
      <c r="E8" s="134"/>
      <c r="F8" s="134"/>
      <c r="G8" s="134"/>
      <c r="H8" s="226" t="s">
        <v>11</v>
      </c>
      <c r="I8" s="226"/>
      <c r="J8" s="226"/>
    </row>
    <row r="9" spans="1:10" ht="34.700000000000003" customHeight="1" x14ac:dyDescent="0.2">
      <c r="A9" s="1" t="s">
        <v>12</v>
      </c>
      <c r="B9" s="134" t="s">
        <v>13</v>
      </c>
      <c r="C9" s="134"/>
      <c r="D9" s="134"/>
      <c r="E9" s="134"/>
      <c r="F9" s="134"/>
      <c r="G9" s="134"/>
      <c r="H9" s="226" t="s">
        <v>14</v>
      </c>
      <c r="I9" s="226"/>
      <c r="J9" s="226"/>
    </row>
    <row r="10" spans="1:10" ht="12.75" customHeight="1" x14ac:dyDescent="0.2">
      <c r="A10" s="1" t="s">
        <v>15</v>
      </c>
      <c r="B10" s="134" t="s">
        <v>16</v>
      </c>
      <c r="C10" s="134"/>
      <c r="D10" s="134"/>
      <c r="E10" s="134"/>
      <c r="F10" s="134"/>
      <c r="G10" s="134"/>
      <c r="H10" s="222">
        <v>20</v>
      </c>
      <c r="I10" s="222"/>
      <c r="J10" s="222"/>
    </row>
    <row r="11" spans="1:10" ht="12.75" customHeight="1" x14ac:dyDescent="0.2">
      <c r="A11" s="247"/>
      <c r="B11" s="247"/>
      <c r="C11" s="247"/>
      <c r="D11" s="247"/>
      <c r="E11" s="247"/>
      <c r="F11" s="247"/>
      <c r="G11" s="247"/>
      <c r="H11" s="247"/>
      <c r="I11" s="247"/>
      <c r="J11" s="247"/>
    </row>
    <row r="12" spans="1:10" ht="30" customHeight="1" x14ac:dyDescent="0.2">
      <c r="A12" s="255" t="s">
        <v>321</v>
      </c>
      <c r="B12" s="255"/>
      <c r="C12" s="255"/>
      <c r="D12" s="255"/>
      <c r="E12" s="255"/>
      <c r="F12" s="255"/>
      <c r="G12" s="255"/>
      <c r="H12" s="255"/>
      <c r="I12" s="255"/>
      <c r="J12" s="255"/>
    </row>
    <row r="13" spans="1:10" ht="12.75" customHeight="1" x14ac:dyDescent="0.2">
      <c r="A13" s="250" t="s">
        <v>214</v>
      </c>
      <c r="B13" s="250"/>
      <c r="C13" s="250"/>
      <c r="D13" s="250"/>
      <c r="E13" s="250"/>
      <c r="F13" s="250"/>
      <c r="G13" s="250"/>
      <c r="H13" s="250"/>
      <c r="I13" s="251">
        <f>'SERVENTE - GRAU (40%)'!I224:J224</f>
        <v>25566.89</v>
      </c>
      <c r="J13" s="251"/>
    </row>
    <row r="14" spans="1:10" ht="12.75" customHeight="1" x14ac:dyDescent="0.2">
      <c r="A14" s="252"/>
      <c r="B14" s="252"/>
      <c r="C14" s="252"/>
      <c r="D14" s="252"/>
      <c r="E14" s="252"/>
      <c r="F14" s="252"/>
      <c r="G14" s="252"/>
      <c r="H14" s="252"/>
      <c r="I14" s="252"/>
      <c r="J14" s="252"/>
    </row>
    <row r="15" spans="1:10" ht="12.75" customHeight="1" x14ac:dyDescent="0.2">
      <c r="A15" s="253" t="s">
        <v>215</v>
      </c>
      <c r="B15" s="253"/>
      <c r="C15" s="253"/>
      <c r="D15" s="253"/>
      <c r="E15" s="253"/>
      <c r="F15" s="253"/>
      <c r="G15" s="253"/>
      <c r="H15" s="253"/>
      <c r="I15" s="254">
        <f>'SERVENTE - GRAU (40%)'!I226:J226</f>
        <v>20</v>
      </c>
      <c r="J15" s="254"/>
    </row>
    <row r="16" spans="1:10" ht="12.75" customHeight="1" x14ac:dyDescent="0.2">
      <c r="A16" s="252"/>
      <c r="B16" s="252"/>
      <c r="C16" s="252"/>
      <c r="D16" s="252"/>
      <c r="E16" s="252"/>
      <c r="F16" s="252"/>
      <c r="G16" s="252"/>
      <c r="H16" s="252"/>
      <c r="I16" s="252"/>
      <c r="J16" s="252"/>
    </row>
    <row r="17" spans="1:10" ht="13.5" customHeight="1" x14ac:dyDescent="0.2">
      <c r="A17" s="245" t="s">
        <v>322</v>
      </c>
      <c r="B17" s="245"/>
      <c r="C17" s="245"/>
      <c r="D17" s="245"/>
      <c r="E17" s="245"/>
      <c r="F17" s="245"/>
      <c r="G17" s="245"/>
      <c r="H17" s="245"/>
      <c r="I17" s="246">
        <f>'SERVENTE - GRAU (40%)'!I228:J228</f>
        <v>511337.8</v>
      </c>
      <c r="J17" s="246"/>
    </row>
    <row r="18" spans="1:10" ht="13.5" customHeight="1" x14ac:dyDescent="0.2">
      <c r="A18" s="247"/>
      <c r="B18" s="247"/>
      <c r="C18" s="247"/>
      <c r="D18" s="247"/>
      <c r="E18" s="247"/>
      <c r="F18" s="247"/>
      <c r="G18" s="247"/>
      <c r="H18" s="247"/>
      <c r="I18" s="247"/>
      <c r="J18" s="247"/>
    </row>
    <row r="19" spans="1:10" ht="16.5" customHeight="1" x14ac:dyDescent="0.2">
      <c r="A19" s="248" t="s">
        <v>323</v>
      </c>
      <c r="B19" s="248"/>
      <c r="C19" s="248"/>
      <c r="D19" s="248"/>
      <c r="E19" s="248"/>
      <c r="F19" s="248"/>
      <c r="G19" s="248"/>
      <c r="H19" s="248"/>
      <c r="I19" s="249">
        <f>I13</f>
        <v>25566.89</v>
      </c>
      <c r="J19" s="249"/>
    </row>
    <row r="20" spans="1:10" ht="13.5" customHeight="1" x14ac:dyDescent="0.2">
      <c r="A20" s="245" t="s">
        <v>324</v>
      </c>
      <c r="B20" s="245"/>
      <c r="C20" s="245"/>
      <c r="D20" s="245"/>
      <c r="E20" s="245"/>
      <c r="F20" s="245"/>
      <c r="G20" s="245"/>
      <c r="H20" s="245"/>
      <c r="I20" s="246">
        <f>I17</f>
        <v>511337.8</v>
      </c>
      <c r="J20" s="246"/>
    </row>
  </sheetData>
  <sheetProtection selectLockedCells="1" selectUnlockedCells="1"/>
  <mergeCells count="32">
    <mergeCell ref="A1:J1"/>
    <mergeCell ref="A2:J2"/>
    <mergeCell ref="A3:G3"/>
    <mergeCell ref="H3:J3"/>
    <mergeCell ref="A4:G4"/>
    <mergeCell ref="H4:J4"/>
    <mergeCell ref="A5:G5"/>
    <mergeCell ref="H5:J5"/>
    <mergeCell ref="A6:J6"/>
    <mergeCell ref="B7:G7"/>
    <mergeCell ref="H7:J7"/>
    <mergeCell ref="B8:G8"/>
    <mergeCell ref="H8:J8"/>
    <mergeCell ref="B9:G9"/>
    <mergeCell ref="H9:J9"/>
    <mergeCell ref="B10:G10"/>
    <mergeCell ref="H10:J10"/>
    <mergeCell ref="A11:J11"/>
    <mergeCell ref="A12:J12"/>
    <mergeCell ref="A13:H13"/>
    <mergeCell ref="I13:J13"/>
    <mergeCell ref="A14:J14"/>
    <mergeCell ref="A15:H15"/>
    <mergeCell ref="I15:J15"/>
    <mergeCell ref="A16:J16"/>
    <mergeCell ref="A17:H17"/>
    <mergeCell ref="I17:J17"/>
    <mergeCell ref="A18:J18"/>
    <mergeCell ref="A19:H19"/>
    <mergeCell ref="I19:J19"/>
    <mergeCell ref="A20:H20"/>
    <mergeCell ref="I20:J20"/>
  </mergeCells>
  <pageMargins left="0.51180555555555551" right="0.51180555555555551" top="0.78749999999999998" bottom="0.78749999999999998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SERVENTE - GRAU (40%)</vt:lpstr>
      <vt:lpstr>INSUMOS</vt:lpstr>
      <vt:lpstr>RESUMO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Isis Born Machado</dc:creator>
  <cp:lastModifiedBy>Renan Conceicao Goulart</cp:lastModifiedBy>
  <dcterms:created xsi:type="dcterms:W3CDTF">2022-06-06T20:14:58Z</dcterms:created>
  <dcterms:modified xsi:type="dcterms:W3CDTF">2022-07-12T15:37:13Z</dcterms:modified>
</cp:coreProperties>
</file>