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bruna\Downloads\"/>
    </mc:Choice>
  </mc:AlternateContent>
  <xr:revisionPtr revIDLastSave="0" documentId="13_ncr:1_{6867CEFD-4281-416C-8755-07A44DA2A07A}" xr6:coauthVersionLast="47" xr6:coauthVersionMax="47" xr10:uidLastSave="{00000000-0000-0000-0000-000000000000}"/>
  <bookViews>
    <workbookView xWindow="-120" yWindow="-120" windowWidth="20730" windowHeight="11040" xr2:uid="{00000000-000D-0000-FFFF-FFFF00000000}"/>
  </bookViews>
  <sheets>
    <sheet name="RESUMO" sheetId="4" r:id="rId1"/>
    <sheet name="Oficial de Manut. Pred. - Grava" sheetId="8" r:id="rId2"/>
    <sheet name="Aux. Manut. Pred. - Gravataí" sheetId="9" r:id="rId3"/>
    <sheet name="Jardinagem - Gravataí" sheetId="10" r:id="rId4"/>
    <sheet name="Oficial de Manut. Pred. - Lajea" sheetId="5" r:id="rId5"/>
    <sheet name="Aux. Manut. Pred. - Lajeado" sheetId="6" r:id="rId6"/>
    <sheet name="Jardinagem - Lajeado" sheetId="7" r:id="rId7"/>
    <sheet name="SG-Oficial de Manut. Pred" sheetId="11" r:id="rId8"/>
    <sheet name="SG-Jardinagem" sheetId="12" r:id="rId9"/>
    <sheet name="INSUMOS - Gravataí" sheetId="2" r:id="rId10"/>
    <sheet name="INSUMOS - Lajeado" sheetId="1" r:id="rId11"/>
    <sheet name="INSUMOS - Sapiranga" sheetId="3" r:id="rId12"/>
  </sheets>
  <calcPr calcId="191029"/>
  <extLst>
    <ext uri="GoogleSheetsCustomDataVersion2">
      <go:sheetsCustomData xmlns:go="http://customooxmlschemas.google.com/" r:id="rId16" roundtripDataChecksum="U7SlJOVT6F6HmNmFAvVNIV2Z1gzDBqMSiamfc4v3aqM="/>
    </ext>
  </extLst>
</workbook>
</file>

<file path=xl/calcChain.xml><?xml version="1.0" encoding="utf-8"?>
<calcChain xmlns="http://schemas.openxmlformats.org/spreadsheetml/2006/main">
  <c r="I136" i="12" l="1"/>
  <c r="J60" i="12"/>
  <c r="I45" i="12"/>
  <c r="I51" i="12" s="1"/>
  <c r="J24" i="12"/>
  <c r="I134" i="11"/>
  <c r="J99" i="11"/>
  <c r="J100" i="11" s="1"/>
  <c r="J105" i="11" s="1"/>
  <c r="I61" i="11"/>
  <c r="J60" i="11"/>
  <c r="I45" i="11"/>
  <c r="I51" i="11" s="1"/>
  <c r="J24" i="11"/>
  <c r="H18" i="11"/>
  <c r="I136" i="10"/>
  <c r="J60" i="10"/>
  <c r="J55" i="10"/>
  <c r="J66" i="10" s="1"/>
  <c r="J72" i="10" s="1"/>
  <c r="I45" i="10"/>
  <c r="I51" i="10" s="1"/>
  <c r="J25" i="10"/>
  <c r="J24" i="10"/>
  <c r="I136" i="9"/>
  <c r="J60" i="9"/>
  <c r="I51" i="9"/>
  <c r="J101" i="9" s="1"/>
  <c r="J102" i="9" s="1"/>
  <c r="J107" i="9" s="1"/>
  <c r="I45" i="9"/>
  <c r="J29" i="9"/>
  <c r="J25" i="9"/>
  <c r="J24" i="9"/>
  <c r="I134" i="8"/>
  <c r="J60" i="8"/>
  <c r="I45" i="8"/>
  <c r="I51" i="8" s="1"/>
  <c r="J24" i="8"/>
  <c r="I136" i="7"/>
  <c r="J60" i="7"/>
  <c r="J55" i="7"/>
  <c r="J66" i="7" s="1"/>
  <c r="J72" i="7" s="1"/>
  <c r="I45" i="7"/>
  <c r="I51" i="7" s="1"/>
  <c r="J101" i="7" s="1"/>
  <c r="J102" i="7" s="1"/>
  <c r="J107" i="7" s="1"/>
  <c r="J24" i="7"/>
  <c r="J25" i="7" s="1"/>
  <c r="I136" i="6"/>
  <c r="J60" i="6"/>
  <c r="I45" i="6"/>
  <c r="I51" i="6" s="1"/>
  <c r="J24" i="6"/>
  <c r="J55" i="6" s="1"/>
  <c r="J66" i="6" s="1"/>
  <c r="J72" i="6" s="1"/>
  <c r="I134" i="5"/>
  <c r="J60" i="5"/>
  <c r="I45" i="5"/>
  <c r="I51" i="5" s="1"/>
  <c r="J24" i="5"/>
  <c r="H27" i="4"/>
  <c r="E160" i="3"/>
  <c r="E159" i="3"/>
  <c r="E158" i="3"/>
  <c r="E157" i="3"/>
  <c r="E156" i="3"/>
  <c r="E155" i="3"/>
  <c r="E154" i="3"/>
  <c r="E153" i="3"/>
  <c r="E152" i="3"/>
  <c r="E151" i="3"/>
  <c r="E150" i="3"/>
  <c r="E149" i="3"/>
  <c r="E148" i="3"/>
  <c r="E147" i="3"/>
  <c r="E146" i="3"/>
  <c r="E145" i="3"/>
  <c r="E144" i="3"/>
  <c r="E161" i="3" s="1"/>
  <c r="E139" i="3"/>
  <c r="G139" i="3" s="1"/>
  <c r="G138" i="3"/>
  <c r="E138" i="3"/>
  <c r="G137" i="3"/>
  <c r="G140" i="3" s="1"/>
  <c r="E137" i="3"/>
  <c r="D132" i="3"/>
  <c r="F132" i="3" s="1"/>
  <c r="F131" i="3"/>
  <c r="D131" i="3"/>
  <c r="E126" i="3"/>
  <c r="E125" i="3"/>
  <c r="E124" i="3"/>
  <c r="E123" i="3"/>
  <c r="E122" i="3"/>
  <c r="E121" i="3"/>
  <c r="E120" i="3"/>
  <c r="E119" i="3"/>
  <c r="E118" i="3"/>
  <c r="E117" i="3"/>
  <c r="E116" i="3"/>
  <c r="E115" i="3"/>
  <c r="E114" i="3"/>
  <c r="E113" i="3"/>
  <c r="E112" i="3"/>
  <c r="E111" i="3"/>
  <c r="E110" i="3"/>
  <c r="E109" i="3"/>
  <c r="E108" i="3"/>
  <c r="E107" i="3"/>
  <c r="E106" i="3"/>
  <c r="E105" i="3"/>
  <c r="E104" i="3"/>
  <c r="E103" i="3"/>
  <c r="E127" i="3" s="1"/>
  <c r="E96" i="3"/>
  <c r="E95" i="3"/>
  <c r="E94" i="3"/>
  <c r="E93" i="3"/>
  <c r="E92" i="3"/>
  <c r="E91" i="3"/>
  <c r="E90" i="3"/>
  <c r="E89" i="3"/>
  <c r="E88" i="3"/>
  <c r="E87" i="3"/>
  <c r="E86" i="3"/>
  <c r="E85" i="3"/>
  <c r="E84" i="3"/>
  <c r="E83" i="3"/>
  <c r="E82" i="3"/>
  <c r="E81" i="3"/>
  <c r="E80" i="3"/>
  <c r="E79" i="3"/>
  <c r="E97" i="3" s="1"/>
  <c r="E74" i="3"/>
  <c r="G74" i="3" s="1"/>
  <c r="E73" i="3"/>
  <c r="G73" i="3" s="1"/>
  <c r="E72" i="3"/>
  <c r="G72" i="3" s="1"/>
  <c r="G71" i="3"/>
  <c r="E71" i="3"/>
  <c r="E70" i="3"/>
  <c r="G70" i="3" s="1"/>
  <c r="E69" i="3"/>
  <c r="G69" i="3" s="1"/>
  <c r="E68" i="3"/>
  <c r="G68" i="3" s="1"/>
  <c r="E63" i="3"/>
  <c r="C63" i="3" s="1"/>
  <c r="G63" i="3" s="1"/>
  <c r="E62" i="3"/>
  <c r="C62" i="3"/>
  <c r="G62" i="3" s="1"/>
  <c r="E61" i="3"/>
  <c r="C61" i="3"/>
  <c r="G61" i="3" s="1"/>
  <c r="G60" i="3"/>
  <c r="E60" i="3"/>
  <c r="C60" i="3"/>
  <c r="E55" i="3"/>
  <c r="E54" i="3"/>
  <c r="E53" i="3"/>
  <c r="E52" i="3"/>
  <c r="E51" i="3"/>
  <c r="E50" i="3"/>
  <c r="E49" i="3"/>
  <c r="E48" i="3"/>
  <c r="E47" i="3"/>
  <c r="E46" i="3"/>
  <c r="E45" i="3"/>
  <c r="E44" i="3"/>
  <c r="E43" i="3"/>
  <c r="E42" i="3"/>
  <c r="E41" i="3"/>
  <c r="E40" i="3"/>
  <c r="E39" i="3"/>
  <c r="E38" i="3"/>
  <c r="E37" i="3"/>
  <c r="E36" i="3"/>
  <c r="E35" i="3"/>
  <c r="E34" i="3"/>
  <c r="E33" i="3"/>
  <c r="E32" i="3"/>
  <c r="E31" i="3"/>
  <c r="E30" i="3"/>
  <c r="E29" i="3"/>
  <c r="E28" i="3"/>
  <c r="E27" i="3"/>
  <c r="E26" i="3"/>
  <c r="E25" i="3"/>
  <c r="E24" i="3"/>
  <c r="E23" i="3"/>
  <c r="E22" i="3"/>
  <c r="E21" i="3"/>
  <c r="E20" i="3"/>
  <c r="E19" i="3"/>
  <c r="E18" i="3"/>
  <c r="E17" i="3"/>
  <c r="E16" i="3"/>
  <c r="E15" i="3"/>
  <c r="E14" i="3"/>
  <c r="E13" i="3"/>
  <c r="E12" i="3"/>
  <c r="E11" i="3"/>
  <c r="E10" i="3"/>
  <c r="E9" i="3"/>
  <c r="E8" i="3"/>
  <c r="E56" i="3" s="1"/>
  <c r="E7" i="3"/>
  <c r="E6" i="3"/>
  <c r="E183" i="2"/>
  <c r="E182" i="2"/>
  <c r="E181" i="2"/>
  <c r="E180" i="2"/>
  <c r="E179" i="2"/>
  <c r="E178" i="2"/>
  <c r="E177" i="2"/>
  <c r="E176" i="2"/>
  <c r="E175" i="2"/>
  <c r="E174" i="2"/>
  <c r="E173" i="2"/>
  <c r="E172" i="2"/>
  <c r="E171" i="2"/>
  <c r="E170" i="2"/>
  <c r="E169" i="2"/>
  <c r="E168" i="2"/>
  <c r="E167" i="2"/>
  <c r="E184" i="2" s="1"/>
  <c r="E162" i="2"/>
  <c r="G162" i="2" s="1"/>
  <c r="E161" i="2"/>
  <c r="G161" i="2" s="1"/>
  <c r="E160" i="2"/>
  <c r="G160" i="2" s="1"/>
  <c r="E159" i="2"/>
  <c r="G159" i="2" s="1"/>
  <c r="E158" i="2"/>
  <c r="G158" i="2" s="1"/>
  <c r="G163" i="2" s="1"/>
  <c r="D153" i="2"/>
  <c r="F153" i="2" s="1"/>
  <c r="D152" i="2"/>
  <c r="F152" i="2" s="1"/>
  <c r="E147" i="2"/>
  <c r="E146" i="2"/>
  <c r="E145" i="2"/>
  <c r="E144" i="2"/>
  <c r="E143" i="2"/>
  <c r="E142" i="2"/>
  <c r="E141" i="2"/>
  <c r="E140" i="2"/>
  <c r="E139" i="2"/>
  <c r="E138" i="2"/>
  <c r="E137" i="2"/>
  <c r="E136" i="2"/>
  <c r="E135" i="2"/>
  <c r="E134" i="2"/>
  <c r="E133" i="2"/>
  <c r="E132" i="2"/>
  <c r="E131" i="2"/>
  <c r="E130" i="2"/>
  <c r="E129" i="2"/>
  <c r="E128" i="2"/>
  <c r="E127" i="2"/>
  <c r="E126" i="2"/>
  <c r="E125" i="2"/>
  <c r="E124" i="2"/>
  <c r="E148" i="2" s="1"/>
  <c r="E118" i="2"/>
  <c r="E117" i="2"/>
  <c r="E116" i="2"/>
  <c r="E115" i="2"/>
  <c r="E114" i="2"/>
  <c r="E113" i="2"/>
  <c r="E112" i="2"/>
  <c r="E111" i="2"/>
  <c r="E110" i="2"/>
  <c r="E109" i="2"/>
  <c r="E108" i="2"/>
  <c r="E107" i="2"/>
  <c r="E119" i="2" s="1"/>
  <c r="E106" i="2"/>
  <c r="E99" i="2"/>
  <c r="E98" i="2"/>
  <c r="E97" i="2"/>
  <c r="E96" i="2"/>
  <c r="E95" i="2"/>
  <c r="E94" i="2"/>
  <c r="E93" i="2"/>
  <c r="E92" i="2"/>
  <c r="E91" i="2"/>
  <c r="E90" i="2"/>
  <c r="E89" i="2"/>
  <c r="E88" i="2"/>
  <c r="E87" i="2"/>
  <c r="E86" i="2"/>
  <c r="E85" i="2"/>
  <c r="E84" i="2"/>
  <c r="E83" i="2"/>
  <c r="E82" i="2"/>
  <c r="E100" i="2" s="1"/>
  <c r="G77" i="2"/>
  <c r="E77" i="2"/>
  <c r="G76" i="2"/>
  <c r="E76" i="2"/>
  <c r="G75" i="2"/>
  <c r="E75" i="2"/>
  <c r="E74" i="2"/>
  <c r="G74" i="2" s="1"/>
  <c r="G73" i="2"/>
  <c r="E73" i="2"/>
  <c r="G72" i="2"/>
  <c r="E72" i="2"/>
  <c r="G71" i="2"/>
  <c r="E71" i="2"/>
  <c r="E70" i="2"/>
  <c r="G70" i="2" s="1"/>
  <c r="G69" i="2"/>
  <c r="E69" i="2"/>
  <c r="G68" i="2"/>
  <c r="E68" i="2"/>
  <c r="E63" i="2"/>
  <c r="C63" i="2"/>
  <c r="G63" i="2" s="1"/>
  <c r="E62" i="2"/>
  <c r="C62" i="2" s="1"/>
  <c r="G62" i="2" s="1"/>
  <c r="E61" i="2"/>
  <c r="C61" i="2" s="1"/>
  <c r="G61" i="2" s="1"/>
  <c r="E60" i="2"/>
  <c r="C60" i="2" s="1"/>
  <c r="G60" i="2" s="1"/>
  <c r="G64" i="2" s="1"/>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6" i="2" s="1"/>
  <c r="E178" i="1"/>
  <c r="E177" i="1"/>
  <c r="E176" i="1"/>
  <c r="E175" i="1"/>
  <c r="E174" i="1"/>
  <c r="E173" i="1"/>
  <c r="E172" i="1"/>
  <c r="E171" i="1"/>
  <c r="E170" i="1"/>
  <c r="E169" i="1"/>
  <c r="E168" i="1"/>
  <c r="E167" i="1"/>
  <c r="E166" i="1"/>
  <c r="E165" i="1"/>
  <c r="E164" i="1"/>
  <c r="E163" i="1"/>
  <c r="E162" i="1"/>
  <c r="E179" i="1" s="1"/>
  <c r="G157" i="1"/>
  <c r="E157" i="1"/>
  <c r="E156" i="1"/>
  <c r="G156" i="1" s="1"/>
  <c r="E155" i="1"/>
  <c r="G155" i="1" s="1"/>
  <c r="G158" i="1" s="1"/>
  <c r="F150" i="1"/>
  <c r="D150" i="1"/>
  <c r="D149" i="1"/>
  <c r="F149" i="1" s="1"/>
  <c r="F151" i="1" s="1"/>
  <c r="E144" i="1"/>
  <c r="E143" i="1"/>
  <c r="E142" i="1"/>
  <c r="E141" i="1"/>
  <c r="E140" i="1"/>
  <c r="E139" i="1"/>
  <c r="E138" i="1"/>
  <c r="E137" i="1"/>
  <c r="E136" i="1"/>
  <c r="E135" i="1"/>
  <c r="E134" i="1"/>
  <c r="E133" i="1"/>
  <c r="E132" i="1"/>
  <c r="E131" i="1"/>
  <c r="E130" i="1"/>
  <c r="E129" i="1"/>
  <c r="E128" i="1"/>
  <c r="E127" i="1"/>
  <c r="E126" i="1"/>
  <c r="E125" i="1"/>
  <c r="E124" i="1"/>
  <c r="E123" i="1"/>
  <c r="E122" i="1"/>
  <c r="E121" i="1"/>
  <c r="E145" i="1" s="1"/>
  <c r="E115" i="1"/>
  <c r="E114" i="1"/>
  <c r="E113" i="1"/>
  <c r="E112" i="1"/>
  <c r="E111" i="1"/>
  <c r="E110" i="1"/>
  <c r="E109" i="1"/>
  <c r="E108" i="1"/>
  <c r="E107" i="1"/>
  <c r="E106" i="1"/>
  <c r="E105" i="1"/>
  <c r="E104" i="1"/>
  <c r="E103" i="1"/>
  <c r="E102" i="1"/>
  <c r="E116" i="1" s="1"/>
  <c r="E95" i="1"/>
  <c r="E94" i="1"/>
  <c r="E93" i="1"/>
  <c r="E92" i="1"/>
  <c r="E91" i="1"/>
  <c r="E90" i="1"/>
  <c r="E89" i="1"/>
  <c r="E88" i="1"/>
  <c r="E87" i="1"/>
  <c r="E86" i="1"/>
  <c r="E85" i="1"/>
  <c r="E84" i="1"/>
  <c r="E83" i="1"/>
  <c r="E82" i="1"/>
  <c r="E81" i="1"/>
  <c r="E80" i="1"/>
  <c r="E79" i="1"/>
  <c r="E78" i="1"/>
  <c r="E96" i="1" s="1"/>
  <c r="E73" i="1"/>
  <c r="G73" i="1" s="1"/>
  <c r="G72" i="1"/>
  <c r="E72" i="1"/>
  <c r="G71" i="1"/>
  <c r="E71" i="1"/>
  <c r="E70" i="1"/>
  <c r="G70" i="1" s="1"/>
  <c r="E69" i="1"/>
  <c r="G69" i="1" s="1"/>
  <c r="G68" i="1"/>
  <c r="E68" i="1"/>
  <c r="G67" i="1"/>
  <c r="E67" i="1"/>
  <c r="E62" i="1"/>
  <c r="C62" i="1"/>
  <c r="G62" i="1" s="1"/>
  <c r="E61" i="1"/>
  <c r="C61" i="1" s="1"/>
  <c r="G61" i="1" s="1"/>
  <c r="E60" i="1"/>
  <c r="C60" i="1" s="1"/>
  <c r="G60" i="1" s="1"/>
  <c r="G63" i="1" s="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6" i="1" s="1"/>
  <c r="B199" i="2" l="1"/>
  <c r="F199" i="2" s="1"/>
  <c r="E185" i="2"/>
  <c r="D199" i="2" s="1"/>
  <c r="J112" i="10" s="1"/>
  <c r="B187" i="1"/>
  <c r="F187" i="1" s="1"/>
  <c r="E97" i="1"/>
  <c r="D187" i="1" s="1"/>
  <c r="J110" i="5" s="1"/>
  <c r="B191" i="1"/>
  <c r="F191" i="1" s="1"/>
  <c r="E146" i="1"/>
  <c r="B190" i="1"/>
  <c r="F190" i="1" s="1"/>
  <c r="F152" i="1"/>
  <c r="D192" i="1" s="1"/>
  <c r="B192" i="1"/>
  <c r="F192" i="1" s="1"/>
  <c r="B189" i="2"/>
  <c r="F189" i="2" s="1"/>
  <c r="E57" i="2"/>
  <c r="G78" i="2"/>
  <c r="B188" i="2" s="1"/>
  <c r="B196" i="2"/>
  <c r="F196" i="2" s="1"/>
  <c r="B195" i="2"/>
  <c r="F195" i="2" s="1"/>
  <c r="E149" i="2"/>
  <c r="F154" i="2"/>
  <c r="B190" i="2"/>
  <c r="F190" i="2" s="1"/>
  <c r="G65" i="2"/>
  <c r="D190" i="2" s="1"/>
  <c r="B171" i="3"/>
  <c r="F171" i="3" s="1"/>
  <c r="E128" i="3"/>
  <c r="B174" i="3"/>
  <c r="F174" i="3" s="1"/>
  <c r="E162" i="3"/>
  <c r="D174" i="3" s="1"/>
  <c r="J112" i="12" s="1"/>
  <c r="B194" i="1"/>
  <c r="F194" i="1" s="1"/>
  <c r="E180" i="1"/>
  <c r="D194" i="1" s="1"/>
  <c r="J112" i="7" s="1"/>
  <c r="G64" i="1"/>
  <c r="D185" i="1" s="1"/>
  <c r="B185" i="1"/>
  <c r="F185" i="1" s="1"/>
  <c r="B188" i="1"/>
  <c r="F188" i="1" s="1"/>
  <c r="E117" i="1"/>
  <c r="B189" i="1"/>
  <c r="F189" i="1" s="1"/>
  <c r="G164" i="2"/>
  <c r="D198" i="2" s="1"/>
  <c r="J114" i="10" s="1"/>
  <c r="B198" i="2"/>
  <c r="F198" i="2" s="1"/>
  <c r="B183" i="1"/>
  <c r="E57" i="1"/>
  <c r="B184" i="1"/>
  <c r="F184" i="1" s="1"/>
  <c r="B192" i="2"/>
  <c r="F192" i="2" s="1"/>
  <c r="E101" i="2"/>
  <c r="D192" i="2" s="1"/>
  <c r="J110" i="8" s="1"/>
  <c r="B166" i="3"/>
  <c r="F166" i="3" s="1"/>
  <c r="E57" i="3"/>
  <c r="G159" i="1"/>
  <c r="D193" i="1" s="1"/>
  <c r="J114" i="7" s="1"/>
  <c r="B193" i="1"/>
  <c r="F193" i="1" s="1"/>
  <c r="B194" i="2"/>
  <c r="F194" i="2" s="1"/>
  <c r="B193" i="2"/>
  <c r="F193" i="2" s="1"/>
  <c r="E120" i="2"/>
  <c r="G74" i="1"/>
  <c r="B169" i="3"/>
  <c r="F169" i="3" s="1"/>
  <c r="E98" i="3"/>
  <c r="D169" i="3" s="1"/>
  <c r="J110" i="11" s="1"/>
  <c r="B173" i="3"/>
  <c r="F173" i="3" s="1"/>
  <c r="G141" i="3"/>
  <c r="D173" i="3" s="1"/>
  <c r="J114" i="12" s="1"/>
  <c r="J99" i="8"/>
  <c r="J100" i="8" s="1"/>
  <c r="J105" i="8" s="1"/>
  <c r="J30" i="9"/>
  <c r="J25" i="6"/>
  <c r="J30" i="6" s="1"/>
  <c r="J101" i="10"/>
  <c r="J102" i="10" s="1"/>
  <c r="J107" i="10" s="1"/>
  <c r="J101" i="12"/>
  <c r="J102" i="12" s="1"/>
  <c r="J107" i="12" s="1"/>
  <c r="F133" i="3"/>
  <c r="J29" i="8"/>
  <c r="J30" i="8" s="1"/>
  <c r="J25" i="8"/>
  <c r="J55" i="8"/>
  <c r="J64" i="8" s="1"/>
  <c r="J70" i="8" s="1"/>
  <c r="J29" i="12"/>
  <c r="J30" i="12" s="1"/>
  <c r="G75" i="3"/>
  <c r="J55" i="5"/>
  <c r="J64" i="5" s="1"/>
  <c r="J70" i="5" s="1"/>
  <c r="J29" i="5"/>
  <c r="J25" i="5"/>
  <c r="J30" i="5" s="1"/>
  <c r="J29" i="11"/>
  <c r="J30" i="11" s="1"/>
  <c r="J25" i="12"/>
  <c r="J55" i="12"/>
  <c r="J66" i="12" s="1"/>
  <c r="J72" i="12" s="1"/>
  <c r="J29" i="6"/>
  <c r="G64" i="3"/>
  <c r="B165" i="3" s="1"/>
  <c r="J99" i="5"/>
  <c r="J100" i="5" s="1"/>
  <c r="J105" i="5" s="1"/>
  <c r="J101" i="6"/>
  <c r="J102" i="6" s="1"/>
  <c r="J107" i="6" s="1"/>
  <c r="J29" i="10"/>
  <c r="J30" i="10" s="1"/>
  <c r="J25" i="11"/>
  <c r="J55" i="11"/>
  <c r="J64" i="11" s="1"/>
  <c r="J70" i="11" s="1"/>
  <c r="J29" i="7"/>
  <c r="J30" i="7" s="1"/>
  <c r="J55" i="9"/>
  <c r="J66" i="9" s="1"/>
  <c r="J72" i="9" s="1"/>
  <c r="J47" i="10" l="1"/>
  <c r="J79" i="10"/>
  <c r="J80" i="10" s="1"/>
  <c r="J46" i="10"/>
  <c r="J36" i="10"/>
  <c r="J77" i="10"/>
  <c r="J88" i="10"/>
  <c r="J44" i="10"/>
  <c r="J143" i="10"/>
  <c r="J81" i="10"/>
  <c r="J48" i="10"/>
  <c r="J50" i="10"/>
  <c r="J43" i="10"/>
  <c r="J51" i="10" s="1"/>
  <c r="J71" i="10" s="1"/>
  <c r="J49" i="10"/>
  <c r="J45" i="10"/>
  <c r="J35" i="10"/>
  <c r="J77" i="11"/>
  <c r="J78" i="11" s="1"/>
  <c r="J47" i="11"/>
  <c r="J46" i="11"/>
  <c r="J36" i="11"/>
  <c r="J86" i="11"/>
  <c r="J44" i="11"/>
  <c r="J48" i="11"/>
  <c r="J141" i="11"/>
  <c r="J43" i="11"/>
  <c r="J51" i="11" s="1"/>
  <c r="J69" i="11" s="1"/>
  <c r="J50" i="11"/>
  <c r="J79" i="11"/>
  <c r="J49" i="11"/>
  <c r="J45" i="11"/>
  <c r="J35" i="11"/>
  <c r="J37" i="11" s="1"/>
  <c r="J86" i="8"/>
  <c r="J44" i="8"/>
  <c r="J50" i="8"/>
  <c r="J43" i="8"/>
  <c r="J141" i="8"/>
  <c r="J79" i="8"/>
  <c r="J48" i="8"/>
  <c r="J47" i="8"/>
  <c r="J36" i="8"/>
  <c r="J46" i="8"/>
  <c r="J35" i="8"/>
  <c r="J37" i="8" s="1"/>
  <c r="J49" i="8"/>
  <c r="J45" i="8"/>
  <c r="J77" i="8"/>
  <c r="J78" i="8" s="1"/>
  <c r="F165" i="3"/>
  <c r="J47" i="12"/>
  <c r="J79" i="12"/>
  <c r="J80" i="12" s="1"/>
  <c r="J46" i="12"/>
  <c r="J36" i="12"/>
  <c r="J88" i="12"/>
  <c r="J44" i="12"/>
  <c r="J143" i="12"/>
  <c r="J81" i="12"/>
  <c r="J48" i="12"/>
  <c r="J35" i="12"/>
  <c r="J37" i="12" s="1"/>
  <c r="J45" i="12"/>
  <c r="J50" i="12"/>
  <c r="J49" i="12"/>
  <c r="J43" i="12"/>
  <c r="J77" i="5"/>
  <c r="J78" i="5" s="1"/>
  <c r="J46" i="5"/>
  <c r="J36" i="5"/>
  <c r="J45" i="5"/>
  <c r="J35" i="5"/>
  <c r="J37" i="5" s="1"/>
  <c r="J86" i="5"/>
  <c r="J44" i="5"/>
  <c r="J50" i="5"/>
  <c r="J43" i="5"/>
  <c r="J47" i="5"/>
  <c r="J141" i="5"/>
  <c r="J48" i="5"/>
  <c r="J79" i="5"/>
  <c r="J49" i="5"/>
  <c r="F188" i="2"/>
  <c r="B200" i="2"/>
  <c r="F200" i="2" s="1"/>
  <c r="J47" i="6"/>
  <c r="J143" i="6"/>
  <c r="J79" i="6"/>
  <c r="J80" i="6" s="1"/>
  <c r="J46" i="6"/>
  <c r="J36" i="6"/>
  <c r="J88" i="6"/>
  <c r="J44" i="6"/>
  <c r="J81" i="6"/>
  <c r="J48" i="6"/>
  <c r="J43" i="6"/>
  <c r="J50" i="6"/>
  <c r="J35" i="6"/>
  <c r="J37" i="6" s="1"/>
  <c r="J49" i="6"/>
  <c r="J45" i="6"/>
  <c r="J50" i="7"/>
  <c r="J43" i="7"/>
  <c r="J51" i="7" s="1"/>
  <c r="J71" i="7" s="1"/>
  <c r="J49" i="7"/>
  <c r="J47" i="7"/>
  <c r="J79" i="7"/>
  <c r="J80" i="7" s="1"/>
  <c r="J46" i="7"/>
  <c r="J36" i="7"/>
  <c r="J88" i="7"/>
  <c r="J44" i="7"/>
  <c r="J143" i="7"/>
  <c r="J35" i="7"/>
  <c r="J48" i="7"/>
  <c r="J77" i="7"/>
  <c r="J81" i="7"/>
  <c r="J45" i="7"/>
  <c r="D188" i="1"/>
  <c r="D189" i="1"/>
  <c r="J112" i="6" s="1"/>
  <c r="J116" i="6" s="1"/>
  <c r="J147" i="6" s="1"/>
  <c r="D171" i="3"/>
  <c r="J113" i="12" s="1"/>
  <c r="J116" i="12" s="1"/>
  <c r="J147" i="12" s="1"/>
  <c r="D170" i="3"/>
  <c r="F134" i="3"/>
  <c r="D172" i="3" s="1"/>
  <c r="B172" i="3"/>
  <c r="F172" i="3" s="1"/>
  <c r="B170" i="3"/>
  <c r="F170" i="3" s="1"/>
  <c r="D191" i="1"/>
  <c r="J113" i="7" s="1"/>
  <c r="D190" i="1"/>
  <c r="B195" i="1"/>
  <c r="F195" i="1" s="1"/>
  <c r="F183" i="1"/>
  <c r="J116" i="7"/>
  <c r="J147" i="7" s="1"/>
  <c r="B191" i="2"/>
  <c r="F191" i="2" s="1"/>
  <c r="G79" i="2"/>
  <c r="D191" i="2" s="1"/>
  <c r="J112" i="8" s="1"/>
  <c r="J88" i="9"/>
  <c r="J44" i="9"/>
  <c r="J49" i="9"/>
  <c r="J81" i="9"/>
  <c r="J48" i="9"/>
  <c r="J45" i="9"/>
  <c r="J35" i="9"/>
  <c r="J37" i="9" s="1"/>
  <c r="J79" i="9"/>
  <c r="J80" i="9" s="1"/>
  <c r="J43" i="9"/>
  <c r="J143" i="9"/>
  <c r="J36" i="9"/>
  <c r="J50" i="9"/>
  <c r="J47" i="9"/>
  <c r="J46" i="9"/>
  <c r="D189" i="2"/>
  <c r="J111" i="8" s="1"/>
  <c r="J114" i="8" s="1"/>
  <c r="J145" i="8" s="1"/>
  <c r="D188" i="2"/>
  <c r="G65" i="3"/>
  <c r="D167" i="3" s="1"/>
  <c r="B167" i="3"/>
  <c r="F167" i="3" s="1"/>
  <c r="D166" i="3"/>
  <c r="B197" i="2"/>
  <c r="F197" i="2" s="1"/>
  <c r="F155" i="2"/>
  <c r="D197" i="2" s="1"/>
  <c r="D194" i="2"/>
  <c r="J112" i="9" s="1"/>
  <c r="J116" i="9" s="1"/>
  <c r="J147" i="9" s="1"/>
  <c r="D193" i="2"/>
  <c r="D184" i="1"/>
  <c r="J111" i="5" s="1"/>
  <c r="J114" i="5" s="1"/>
  <c r="J145" i="5" s="1"/>
  <c r="G76" i="3"/>
  <c r="D168" i="3" s="1"/>
  <c r="J112" i="11" s="1"/>
  <c r="B168" i="3"/>
  <c r="F168" i="3" s="1"/>
  <c r="B186" i="1"/>
  <c r="F186" i="1" s="1"/>
  <c r="G75" i="1"/>
  <c r="D186" i="1" s="1"/>
  <c r="J112" i="5" s="1"/>
  <c r="D196" i="2"/>
  <c r="J113" i="10" s="1"/>
  <c r="J116" i="10" s="1"/>
  <c r="J147" i="10" s="1"/>
  <c r="J51" i="5" l="1"/>
  <c r="J69" i="5" s="1"/>
  <c r="J38" i="12"/>
  <c r="J39" i="12" s="1"/>
  <c r="J70" i="12" s="1"/>
  <c r="J73" i="12" s="1"/>
  <c r="J85" i="10"/>
  <c r="D200" i="2"/>
  <c r="J51" i="9"/>
  <c r="J71" i="9" s="1"/>
  <c r="J83" i="8"/>
  <c r="J78" i="10"/>
  <c r="J82" i="10" s="1"/>
  <c r="J37" i="7"/>
  <c r="J38" i="5"/>
  <c r="J39" i="5" s="1"/>
  <c r="J68" i="5" s="1"/>
  <c r="J71" i="5" s="1"/>
  <c r="J38" i="8"/>
  <c r="J39" i="8" s="1"/>
  <c r="J68" i="8" s="1"/>
  <c r="J71" i="8" s="1"/>
  <c r="J75" i="11"/>
  <c r="J51" i="12"/>
  <c r="J71" i="12" s="1"/>
  <c r="J38" i="11"/>
  <c r="J39" i="11" s="1"/>
  <c r="J68" i="11" s="1"/>
  <c r="J71" i="11" s="1"/>
  <c r="J85" i="6"/>
  <c r="D165" i="3"/>
  <c r="D175" i="3" s="1"/>
  <c r="J77" i="9"/>
  <c r="J38" i="6"/>
  <c r="J39" i="6" s="1"/>
  <c r="J70" i="6" s="1"/>
  <c r="J73" i="6" s="1"/>
  <c r="J77" i="6"/>
  <c r="J85" i="12"/>
  <c r="B175" i="3"/>
  <c r="F175" i="3" s="1"/>
  <c r="J37" i="10"/>
  <c r="J78" i="7"/>
  <c r="J82" i="7" s="1"/>
  <c r="J38" i="9"/>
  <c r="J39" i="9" s="1"/>
  <c r="J70" i="9" s="1"/>
  <c r="J73" i="9" s="1"/>
  <c r="D183" i="1"/>
  <c r="D195" i="1" s="1"/>
  <c r="J111" i="11"/>
  <c r="J114" i="11" s="1"/>
  <c r="J145" i="11" s="1"/>
  <c r="J77" i="12"/>
  <c r="J51" i="8"/>
  <c r="J69" i="8" s="1"/>
  <c r="J85" i="9"/>
  <c r="J83" i="5"/>
  <c r="D195" i="2"/>
  <c r="J85" i="7"/>
  <c r="J51" i="6"/>
  <c r="J71" i="6" s="1"/>
  <c r="J75" i="5"/>
  <c r="J75" i="8"/>
  <c r="J83" i="11"/>
  <c r="J144" i="9" l="1"/>
  <c r="J145" i="7"/>
  <c r="J92" i="7"/>
  <c r="J145" i="10"/>
  <c r="J92" i="10"/>
  <c r="J142" i="8"/>
  <c r="J144" i="12"/>
  <c r="J142" i="11"/>
  <c r="J144" i="6"/>
  <c r="J142" i="5"/>
  <c r="J89" i="5"/>
  <c r="J88" i="5"/>
  <c r="J91" i="5"/>
  <c r="J87" i="5"/>
  <c r="J38" i="7"/>
  <c r="J39" i="7" s="1"/>
  <c r="J70" i="7" s="1"/>
  <c r="J73" i="7" s="1"/>
  <c r="J76" i="11"/>
  <c r="J80" i="11"/>
  <c r="J78" i="6"/>
  <c r="J82" i="6"/>
  <c r="J91" i="6"/>
  <c r="J89" i="6"/>
  <c r="J93" i="6"/>
  <c r="J90" i="6"/>
  <c r="J91" i="10"/>
  <c r="J89" i="10"/>
  <c r="J93" i="10"/>
  <c r="J90" i="10"/>
  <c r="J89" i="11"/>
  <c r="J88" i="11"/>
  <c r="J87" i="11"/>
  <c r="J91" i="11"/>
  <c r="J76" i="5"/>
  <c r="J80" i="5"/>
  <c r="J89" i="9"/>
  <c r="J93" i="9"/>
  <c r="J90" i="9"/>
  <c r="J91" i="9"/>
  <c r="J91" i="12"/>
  <c r="J89" i="12"/>
  <c r="J93" i="12"/>
  <c r="J90" i="12"/>
  <c r="J91" i="8"/>
  <c r="J87" i="8"/>
  <c r="J89" i="8"/>
  <c r="J88" i="8"/>
  <c r="J78" i="9"/>
  <c r="J82" i="9" s="1"/>
  <c r="J76" i="8"/>
  <c r="J80" i="8" s="1"/>
  <c r="J91" i="7"/>
  <c r="J90" i="7"/>
  <c r="J89" i="7"/>
  <c r="J93" i="7"/>
  <c r="J78" i="12"/>
  <c r="J82" i="12" s="1"/>
  <c r="J38" i="10"/>
  <c r="J39" i="10" s="1"/>
  <c r="J70" i="10" s="1"/>
  <c r="J73" i="10" s="1"/>
  <c r="J144" i="10" l="1"/>
  <c r="J143" i="8"/>
  <c r="J90" i="8"/>
  <c r="J92" i="8" s="1"/>
  <c r="J145" i="9"/>
  <c r="J92" i="9"/>
  <c r="J144" i="7"/>
  <c r="J145" i="12"/>
  <c r="J92" i="12"/>
  <c r="J94" i="12" s="1"/>
  <c r="J94" i="7"/>
  <c r="J94" i="9"/>
  <c r="J143" i="5"/>
  <c r="J90" i="5"/>
  <c r="J94" i="10"/>
  <c r="J143" i="11"/>
  <c r="J90" i="11"/>
  <c r="J92" i="5"/>
  <c r="J145" i="6"/>
  <c r="J92" i="6"/>
  <c r="J94" i="6" s="1"/>
  <c r="J92" i="11"/>
  <c r="J95" i="6" l="1"/>
  <c r="J96" i="6" s="1"/>
  <c r="J106" i="6" s="1"/>
  <c r="J108" i="6" s="1"/>
  <c r="J95" i="12"/>
  <c r="J96" i="12" s="1"/>
  <c r="J106" i="12" s="1"/>
  <c r="J108" i="12" s="1"/>
  <c r="J93" i="8"/>
  <c r="J94" i="8" s="1"/>
  <c r="J104" i="8" s="1"/>
  <c r="J106" i="8" s="1"/>
  <c r="J96" i="10"/>
  <c r="J106" i="10" s="1"/>
  <c r="J108" i="10" s="1"/>
  <c r="J95" i="10"/>
  <c r="J93" i="11"/>
  <c r="J94" i="11" s="1"/>
  <c r="J104" i="11" s="1"/>
  <c r="J106" i="11" s="1"/>
  <c r="J95" i="9"/>
  <c r="J96" i="9" s="1"/>
  <c r="J106" i="9" s="1"/>
  <c r="J108" i="9" s="1"/>
  <c r="J94" i="5"/>
  <c r="J104" i="5" s="1"/>
  <c r="J106" i="5" s="1"/>
  <c r="J93" i="5"/>
  <c r="J95" i="7"/>
  <c r="J96" i="7" s="1"/>
  <c r="J106" i="7" s="1"/>
  <c r="J108" i="7" s="1"/>
  <c r="J144" i="8" l="1"/>
  <c r="J146" i="8" s="1"/>
  <c r="J118" i="8"/>
  <c r="J119" i="8" s="1"/>
  <c r="J122" i="8" s="1"/>
  <c r="J120" i="8"/>
  <c r="J121" i="8" s="1"/>
  <c r="J144" i="11"/>
  <c r="J146" i="11" s="1"/>
  <c r="J118" i="11"/>
  <c r="J119" i="11" s="1"/>
  <c r="J120" i="11" s="1"/>
  <c r="J121" i="11" s="1"/>
  <c r="J122" i="11" s="1"/>
  <c r="J146" i="12"/>
  <c r="J148" i="12" s="1"/>
  <c r="J120" i="12"/>
  <c r="J121" i="12" s="1"/>
  <c r="J122" i="12" s="1"/>
  <c r="J123" i="12" s="1"/>
  <c r="J146" i="9"/>
  <c r="J148" i="9" s="1"/>
  <c r="J120" i="9"/>
  <c r="J121" i="9" s="1"/>
  <c r="J122" i="9" s="1"/>
  <c r="J123" i="9" s="1"/>
  <c r="J124" i="9" s="1"/>
  <c r="J146" i="7"/>
  <c r="J148" i="7" s="1"/>
  <c r="J120" i="7"/>
  <c r="J121" i="7" s="1"/>
  <c r="J146" i="6"/>
  <c r="J148" i="6" s="1"/>
  <c r="J120" i="6"/>
  <c r="J121" i="6" s="1"/>
  <c r="J122" i="6"/>
  <c r="J123" i="6" s="1"/>
  <c r="J144" i="5"/>
  <c r="J146" i="5" s="1"/>
  <c r="J118" i="5"/>
  <c r="J119" i="5" s="1"/>
  <c r="J120" i="5" s="1"/>
  <c r="J121" i="5" s="1"/>
  <c r="J146" i="10"/>
  <c r="J148" i="10" s="1"/>
  <c r="J120" i="10"/>
  <c r="J121" i="10" s="1"/>
  <c r="J126" i="11" l="1"/>
  <c r="J125" i="11"/>
  <c r="J131" i="11"/>
  <c r="J126" i="8"/>
  <c r="J125" i="8"/>
  <c r="J132" i="8" s="1"/>
  <c r="J147" i="8" s="1"/>
  <c r="J148" i="8" s="1"/>
  <c r="D14" i="4" s="1"/>
  <c r="F14" i="4" s="1"/>
  <c r="H14" i="4" s="1"/>
  <c r="J131" i="8"/>
  <c r="J128" i="9"/>
  <c r="J127" i="9"/>
  <c r="J136" i="9" s="1"/>
  <c r="J133" i="9"/>
  <c r="J124" i="6"/>
  <c r="J124" i="12"/>
  <c r="J122" i="7"/>
  <c r="J123" i="7" s="1"/>
  <c r="J132" i="11"/>
  <c r="J147" i="11" s="1"/>
  <c r="J148" i="11"/>
  <c r="D20" i="4" s="1"/>
  <c r="F20" i="4" s="1"/>
  <c r="H20" i="4" s="1"/>
  <c r="J122" i="10"/>
  <c r="J123" i="10" s="1"/>
  <c r="J124" i="10" s="1"/>
  <c r="J122" i="5"/>
  <c r="J124" i="7"/>
  <c r="J133" i="12" l="1"/>
  <c r="J128" i="12"/>
  <c r="J127" i="12"/>
  <c r="J127" i="6"/>
  <c r="J133" i="6"/>
  <c r="J128" i="6"/>
  <c r="J134" i="9"/>
  <c r="J149" i="9" s="1"/>
  <c r="J150" i="9" s="1"/>
  <c r="D15" i="4" s="1"/>
  <c r="F15" i="4" s="1"/>
  <c r="H15" i="4" s="1"/>
  <c r="J126" i="5"/>
  <c r="J125" i="5"/>
  <c r="J131" i="5"/>
  <c r="J134" i="11"/>
  <c r="J133" i="10"/>
  <c r="J128" i="10"/>
  <c r="J127" i="10"/>
  <c r="J136" i="10" s="1"/>
  <c r="J134" i="8"/>
  <c r="J127" i="7"/>
  <c r="J128" i="7"/>
  <c r="J133" i="7"/>
  <c r="J136" i="12" l="1"/>
  <c r="J134" i="12"/>
  <c r="J149" i="12" s="1"/>
  <c r="J150" i="12" s="1"/>
  <c r="D21" i="4" s="1"/>
  <c r="F21" i="4" s="1"/>
  <c r="H21" i="4" s="1"/>
  <c r="J134" i="10"/>
  <c r="J149" i="10" s="1"/>
  <c r="J150" i="10" s="1"/>
  <c r="D16" i="4" s="1"/>
  <c r="F16" i="4" s="1"/>
  <c r="H16" i="4" s="1"/>
  <c r="H22" i="4" s="1"/>
  <c r="H25" i="4" s="1"/>
  <c r="J134" i="5"/>
  <c r="J132" i="5"/>
  <c r="J147" i="5" s="1"/>
  <c r="J148" i="5" s="1"/>
  <c r="D17" i="4" s="1"/>
  <c r="F17" i="4" s="1"/>
  <c r="H17" i="4" s="1"/>
  <c r="J136" i="6"/>
  <c r="J134" i="6"/>
  <c r="J149" i="6" s="1"/>
  <c r="J150" i="6" s="1"/>
  <c r="D18" i="4" s="1"/>
  <c r="F18" i="4" s="1"/>
  <c r="H18" i="4" s="1"/>
  <c r="J136" i="7"/>
  <c r="J134" i="7"/>
  <c r="J149" i="7" s="1"/>
  <c r="J150" i="7" s="1"/>
  <c r="D19" i="4" s="1"/>
  <c r="F19" i="4" s="1"/>
  <c r="H19" i="4" s="1"/>
  <c r="H26" i="4" l="1"/>
  <c r="H28" i="4"/>
</calcChain>
</file>

<file path=xl/sharedStrings.xml><?xml version="1.0" encoding="utf-8"?>
<sst xmlns="http://schemas.openxmlformats.org/spreadsheetml/2006/main" count="3088" uniqueCount="541">
  <si>
    <t xml:space="preserve">QUADRO INSUMOS DOS MATERIAIS, EQUIPAMENTOS E UNIFORMES </t>
  </si>
  <si>
    <t>LAJEADO</t>
  </si>
  <si>
    <t>Quantitativo para 12 meses</t>
  </si>
  <si>
    <t xml:space="preserve">Oficial de Manutenção Predial </t>
  </si>
  <si>
    <t>DESCRIÇÃO DOS MATERIAIS</t>
  </si>
  <si>
    <t>UNIDADE</t>
  </si>
  <si>
    <t>QUANTIDADE ANUAL</t>
  </si>
  <si>
    <t>VALOR UNITÁRIO</t>
  </si>
  <si>
    <t>CUSTO ANUAL</t>
  </si>
  <si>
    <t>Alicate de bico isolado</t>
  </si>
  <si>
    <t>Unidade</t>
  </si>
  <si>
    <t>Alicate de corte isolado</t>
  </si>
  <si>
    <t>Alicate universal isolado 8” padrão VDE 1000V</t>
  </si>
  <si>
    <t>Masseira plástica para argamassa</t>
  </si>
  <si>
    <t>Balde de pedreiro plástico</t>
  </si>
  <si>
    <t>Carrinho de mão</t>
  </si>
  <si>
    <t>Chave de teste elétrico, isolada</t>
  </si>
  <si>
    <t>Colher de pedreiro</t>
  </si>
  <si>
    <t>Corda trançada, diâmetro 12mm, mínimo 20m</t>
  </si>
  <si>
    <t>Jogo chave fenda chata isolada</t>
  </si>
  <si>
    <t>Conjunto</t>
  </si>
  <si>
    <t>Jogo chave fenda cruzada isolada</t>
  </si>
  <si>
    <t>Conjunto de brocas para concreto, mínimo 5 peças, bitolas de 4, 5, 6, 8 e 10 mm</t>
  </si>
  <si>
    <t>Conjunto de brocas para metal, mínimo 7 peças, bitolas entre 3 e 10 mm</t>
  </si>
  <si>
    <t>Conjunto de brocas para madeira, mínimo 7 peças, bitolas entre 5 e 12 mm</t>
  </si>
  <si>
    <t>Desempenadeira de esponja</t>
  </si>
  <si>
    <t>Desempenadeira de madeira</t>
  </si>
  <si>
    <t>Desempeno metálico</t>
  </si>
  <si>
    <t>Disco de corte metal 4 ½</t>
  </si>
  <si>
    <t>Disco de desbaste 4 ½</t>
  </si>
  <si>
    <t>Escova de aço</t>
  </si>
  <si>
    <t>Espátula de metal</t>
  </si>
  <si>
    <t>Esquadro metálico pequeno</t>
  </si>
  <si>
    <t>Estilete largo 18 mm</t>
  </si>
  <si>
    <t>Fita passa fio, nylon, mínimo 20 metros</t>
  </si>
  <si>
    <t>Lâmina serra tico tico bimetal</t>
  </si>
  <si>
    <t>Lápis de carpinteiro</t>
  </si>
  <si>
    <t xml:space="preserve">Maleta conjunto de bits, mínimo 100 peças: Especificações Tamanho(s) com fenda: 3, 4, 4,5, 5 (2), 5,5, 6 (2), 6,5, 7 e 8mm Phillips: # 0, # 1 (2), # 2 (5) , # 3 Pozi: # 0, # 1, # 2 (5), # 3 Quadrado: S0, S1, S2, S3 Estrela: T8, T10 (2), T15 (2), T20 (2),  T25, T27 T30, T40, T45 Hex (19 peças, 2 peças cada): 1,5 mm, 2 mm, 2,5 mm, 3 mm (x3), 4 mm, 5 mm, 5,5 mm, 6 mm, 8 mm com furo central (4 unidades): 4 mm, 6 mm, 8 mm, 10 mm  estrela central 9 peças): T8, T10, T15, T20, T25, T27, T30, T35, T40 Hex com furo central (6 peças): 2 mm, 2,5 mm, 3 mm, 4 mm, 5 mm, 6 mm (3 unidades): # 1, # 2, # 3 Tri-wing (4 peças): # 1, # 2, # 3, # 4 Moinho de vento (3 peças): 6, 8, 10 M-tipo (3 peças): M5, M6, M8 60mm  suporte de bit magnético Adaptador de soquete de 1/4 pol. x 50 mm  Adaptador de soquete de 1/4 pol. x 25 mm Conector de 1/4 pol. x 25 mm  Gancho em forma de Y </t>
  </si>
  <si>
    <t xml:space="preserve">Conjunto de macho, M3 x 0.5 - M4 x 0.7 - M5 x 0.8 - M6 x 1.0 - M8 x 1.25 - M10 x 1.5 e M12 x 1.75, com vira macho/desandador </t>
  </si>
  <si>
    <t>Conjunto de cossinete, M3 x 0.5 - M4 x 0.7 - M5 x 0.8 - M6 x 1.0 - M8 x 1.25 - M10 x 1.5 e M12 x 1.75, com vira cossinete/desandador</t>
  </si>
  <si>
    <t>Cálibre de rosca, métrica 60° Passo (0,25mm 6'') / Whitworth 55° FPP (4° 62'')</t>
  </si>
  <si>
    <t>Marreta de 5 kg</t>
  </si>
  <si>
    <t>Pá de corte</t>
  </si>
  <si>
    <t>Picareta</t>
  </si>
  <si>
    <t>Régua de nivelar construção de alvenaria</t>
  </si>
  <si>
    <t>Roldana metálica</t>
  </si>
  <si>
    <t>Bandeja para pintura</t>
  </si>
  <si>
    <t>Rolo de espuma, mínimo 23cm</t>
  </si>
  <si>
    <t>Rolo de espuma, mínimo 9cm</t>
  </si>
  <si>
    <t>Rolo de lã, mínimo 23cm</t>
  </si>
  <si>
    <t>Rolo de lã, mínimo 9cm</t>
  </si>
  <si>
    <t>Serra de arco</t>
  </si>
  <si>
    <t>Serrote</t>
  </si>
  <si>
    <t>Talhadeira</t>
  </si>
  <si>
    <t>Torquês</t>
  </si>
  <si>
    <t>Trena fibra de vidro, mínimo 50m</t>
  </si>
  <si>
    <t>Pistola pneumática para pintura c/ 3 bicos, 1,2mm 1,5mm e 1,8mm, mínimo 100psi, com engate rápido 1/4"</t>
  </si>
  <si>
    <t>Mangueira espiral PU, 8mm, mínimo 5metros, com engate rápido 1/4"</t>
  </si>
  <si>
    <t>Trena, mínimo 5m</t>
  </si>
  <si>
    <t>Eletrodo de solda</t>
  </si>
  <si>
    <t>KG</t>
  </si>
  <si>
    <t>Trincha</t>
  </si>
  <si>
    <t>CUSTO ANUAL DOS MATERIAIS</t>
  </si>
  <si>
    <t>CUSTO MENSAL DOS MATERIAIS</t>
  </si>
  <si>
    <t>DESCRIÇÃO ESPECÍFICOS (PINTURA)</t>
  </si>
  <si>
    <t>QUANTIDADE POR PEDIDO</t>
  </si>
  <si>
    <t>QUANTIDADE TOTAL  (duas vezes durante a vigência do contrato)</t>
  </si>
  <si>
    <t>Tinta acrílica emborrachada, de primeira linha, qualificada pela ABRAFATI, que atenda a NBR 11702/2010, com elasticidade para acompanhar a movimentação natural das trincas e fissuras existentes, marca Suvinil (Proteção Total) ou similar. Cores uva verde, vitral, verde paraíso, verde bucólico, palha, pérola aveludada, concreto, branco gelo e branco neve ou   outra tinta similar (a depender da atualização da nomenclatura da paleta de cores do fabricante), acabamento fosco. Inclui a pintura de muros cegos. As tonalidades das tintas a serem utilizadas deverão ser aprovadas pela Diretoria de Projetos e Obras. Será necessária a preparação da superfície com o uso de uma demão de fundo preparador do mesmo fabricante da tinta e específico para o tipo de tinta utilizada - não considerado no quantitativo. A pintura deverá ser feita com aplicação de no mínimo três demãos ou quantas mais forem necessárias para um perfeito cobrimento da tinta, com diluição recomendada pelo fabricante. Deverá ser utilizada fita de papel gomado para acabamento, tomando-se o cuidado para não haver respingos em outras paredes, pisos ou aberturas. O ambiente deverá ser entregue limpo e organizado ao final da pintura. Fornecimento de material para pintura, incluindo todas as tintas, pincéis, rolos, lixas, desempenadeiras, espátulas, andaimes, telas para proteção de fachadas, lonas plásticas, equipamentos de proteção individual e coletiva e quaisquer outros materiais ou equipamentos que se fizerem necessários para a completa execução do serviço, tudo por conta da CONTRATADA.</t>
  </si>
  <si>
    <t>Lata 18L</t>
  </si>
  <si>
    <t>Tinta esmalte sintético à base de água para serviço de pintura de elementos de madeira (portas, janelas, beirais, etc), de primeira linha, qualificada pela ABRAFATI, que atenda a NBR 11702/2010, marca Suvinil ou similar. Método de aplicação com rolo/pincel e/ou pistola. Aplicação externa. Cores uva verde, vitral, verde paraíso, verde bucólico, palha, pérola aveludada, branco neve e branco gelo ou outra tonalidade similar (a depender da atualização da nomenclatura da paleta de cores do fabricante), semibrilho. A pintura deverá ser feita com aplicação de no mínimo duas demãos de tinta, ou até a efetiva colorização e cobrimento da superfície dos elementos de madeira. Deverá ser utilizada fita de papel gomado para acabamento, tomando-se o cuidado para não haver respingos em outras paredes, pisos ou aberturas. Previamente à pintura, deverá ser realizado o lixamento, correção das massas de vidro (massa vidraceiro) e a limpeza dos elementos de madeira, como também a correção de imperfeições e/ou rachaduras com uso massa apropriada. Após o lixamento, aplicar uma demão de fundo preparador do mesmo fabricante da tinta e específico para o tipo de tinta utilizada - não considerado no quantitativo. O ambiente deverá ser entregue limpo e organizado ao final da pintura. Fornecimento de material, incluindo todas as tintas, pincéis, rolos, lixas, desempenadeiras, espátulas, compressores, pistolas, cabos e equipamentos elétricos, andaimes, lonas plásticas, equipamentos de proteção individual e coletiva e quaisquer outros materiais ou equipamentos que se fizerem necessários para a completa execução do serviço, tudo por conta da CONTRATADA.</t>
  </si>
  <si>
    <t>Lata 3,6L</t>
  </si>
  <si>
    <t>Tinta esmalte sintético à base de solvente para serviço de pintura de elementos metálicos (estruturas metálicas - reservatório, grades de proteção, calhas de beiral, portas, janelas, portões, corrimãos, escada de marinheiro, passarela coberta, guarda-corpo, estruturas metálicas das salas modulares, etc), de primeira linha, qualificada pela ABRAFATI, que atenda a NBR 11702/2010, marca Suvinil ou similar. Método de aplicação com rolo/pincel e/ou pistola. Aplicação externa. Cor branco, verde, cinza, marrom, preto e vermelho ou outra tonalidade similar (a depender da atualização da nomenclatura da paleta de cores do fabricante), semibrilho. A pintura deverá ser feita com aplicação de no mínimo duas demãos de tinta, ou até a efetiva colorização e cobrimento da superfície dos elementos metálicos. Deverá ser utilizada fita de papel gomado para acabamento, tomando-se o cuidado para não haver respingos em outras paredes, pisos ou aberturas. Previamente à pintura, deverá ser realizado o lixamento e limpeza dos elementos metálicos, atentando para a remoção completa da ferrugem. Após o lixamento, aplicar uma demão de fundo a base de cromato de zinco específico para superfícies metálicas (função anticorrosiva) ou convertedor de ferrugem TF-7 (se for o caso) - não considerado no quantitativo. O ambiente deverá ser entregue limpo e organizado ao final da pintura. Fornecimento de material, incluindo todas as tintas, pincéis, rolos, lixas, desempenadeiras, espátulas, compressores, pistolas, cabos e equipamentos elétricos, andaimes, lonas plásticas, equipamentos de proteção individual e coletiva e quaisquer outros materiais ou equipamentos que se fizerem necessários para a completa execução do serviço, tudo por conta da CONTRATADA.</t>
  </si>
  <si>
    <t>EQUIPAMENTOS</t>
  </si>
  <si>
    <t>QUANTIDADE A DISPONIBILIZAR</t>
  </si>
  <si>
    <t>DEPRECIAÇÃO (em meses)</t>
  </si>
  <si>
    <t>Carro de transporte de carga com 2 rodas formato L, carga de no mínimo 400KG</t>
  </si>
  <si>
    <t>Escada Articulada de, no mínimo, 12 degraus</t>
  </si>
  <si>
    <t>Esmerilhadeira 850W</t>
  </si>
  <si>
    <t>Lixadeira orbital 350W</t>
  </si>
  <si>
    <t>Parafusadeira Elétrica a bateria 18V</t>
  </si>
  <si>
    <t>Furadeira mínimo 600W</t>
  </si>
  <si>
    <t>Serra Tico Tico mínimo 550W</t>
  </si>
  <si>
    <t xml:space="preserve">CUSTO ANUAL DOS EQUIPAMENTOS </t>
  </si>
  <si>
    <t xml:space="preserve">CUSTO MENSAL DOS EQUIPAMENTOS </t>
  </si>
  <si>
    <t>UNIFORMES</t>
  </si>
  <si>
    <t xml:space="preserve">Bota de segurança de couro, antiderrapante, preta </t>
  </si>
  <si>
    <t>Par</t>
  </si>
  <si>
    <t>Calça de uniforme, brim, cinza</t>
  </si>
  <si>
    <t>Camiseta de uniforme, algodão, manga curta, cinza</t>
  </si>
  <si>
    <t>Camiseta de uniforme, algodão, manga longa, cinza</t>
  </si>
  <si>
    <t>Bota de segurança NR-10</t>
  </si>
  <si>
    <t>Uniforme profissional eletricista, manga longa</t>
  </si>
  <si>
    <t>Luva NR-10 classe 00</t>
  </si>
  <si>
    <t>Luva de cobertura em vaqueta</t>
  </si>
  <si>
    <t>Capacete de segurança NR-10 classe B</t>
  </si>
  <si>
    <t>Óculos de proteção</t>
  </si>
  <si>
    <t>Máscara de proteção facial</t>
  </si>
  <si>
    <t>Chapéu de palha com aba larga</t>
  </si>
  <si>
    <t>Protetor solar FPS mínimo 30</t>
  </si>
  <si>
    <t>Protetor auricular</t>
  </si>
  <si>
    <t>Jaleco de tecido de Brim (100% algodão)</t>
  </si>
  <si>
    <t>Jaqueta forrrada</t>
  </si>
  <si>
    <t>Luvas emborrachadas em nitrílico</t>
  </si>
  <si>
    <t>Luva de Algodão com pigmentos em PVC</t>
  </si>
  <si>
    <t>CUSTO ANUAL DOS UNIFORMES</t>
  </si>
  <si>
    <t>CUSTO MENSAL DOS UNIFORMES</t>
  </si>
  <si>
    <t xml:space="preserve">Auxiliar de Manutenção Predial </t>
  </si>
  <si>
    <t>JARDINEIRO</t>
  </si>
  <si>
    <t xml:space="preserve">Ancinho com cabo </t>
  </si>
  <si>
    <t>Cesto tipo balaio</t>
  </si>
  <si>
    <t>Enxada</t>
  </si>
  <si>
    <t>Enxó</t>
  </si>
  <si>
    <t>Facão</t>
  </si>
  <si>
    <t>Foice</t>
  </si>
  <si>
    <t>Machado</t>
  </si>
  <si>
    <t>Mangueira para jardim com 50m</t>
  </si>
  <si>
    <t>Cavadeira articulada</t>
  </si>
  <si>
    <t>Cavadeira reta com cabo metálico</t>
  </si>
  <si>
    <t>Pá de bico/abaulada</t>
  </si>
  <si>
    <t>Pulverizador costal manual 20 L</t>
  </si>
  <si>
    <t>Sacaria/ sacos plástico 100L</t>
  </si>
  <si>
    <t>Pacote 100 Un</t>
  </si>
  <si>
    <t>Serrote de poda</t>
  </si>
  <si>
    <t>Tesoura para poda</t>
  </si>
  <si>
    <t>Tesoura para corte de grama</t>
  </si>
  <si>
    <t>Vassoura metálica  com 22 dentes e cabo</t>
  </si>
  <si>
    <t>Vassourão com cabo tipo gari</t>
  </si>
  <si>
    <t>Carretel automático para roçadeira</t>
  </si>
  <si>
    <t>Capa protetora para roçadeira</t>
  </si>
  <si>
    <t>Lamina para roçadeira</t>
  </si>
  <si>
    <t>Escova metálica para roçadeira - aplicação em calçamento</t>
  </si>
  <si>
    <t>Bobina de fio de nylon quadrado, 2,7mm, 2kg, para roçadeira a gasolina</t>
  </si>
  <si>
    <t>MATERIAIS COMPLEMENTARES</t>
  </si>
  <si>
    <t>QUANTIDADE MENSAL</t>
  </si>
  <si>
    <t>Gasolina para máquinas</t>
  </si>
  <si>
    <t>Litro</t>
  </si>
  <si>
    <t>Óleo 2 tempos para máquinas (no caso de roçadeira/cortador com motor 2 tempos)</t>
  </si>
  <si>
    <t>500ml</t>
  </si>
  <si>
    <t>CUSTO ANUAL DOS MATERIAIS COMPLEMENTARES</t>
  </si>
  <si>
    <t>CUSTO MENSAL DOS  MATERIAIS COMPLEMENTARES</t>
  </si>
  <si>
    <t>Cortador de grama a gasolina com recolhedor</t>
  </si>
  <si>
    <t>Roçadeira a gasolina</t>
  </si>
  <si>
    <t>Soprador de folhas a gasolina</t>
  </si>
  <si>
    <t>Quantidade Anual</t>
  </si>
  <si>
    <t>Valor Unitário</t>
  </si>
  <si>
    <t>Custo Anual</t>
  </si>
  <si>
    <t>Calça de uniforme, cinza</t>
  </si>
  <si>
    <t>Bota PVC cano longo</t>
  </si>
  <si>
    <t>Avental raspa de couro</t>
  </si>
  <si>
    <t>Luva látex</t>
  </si>
  <si>
    <t>Luva raspa de couro</t>
  </si>
  <si>
    <t>Abafador tipo concha</t>
  </si>
  <si>
    <t>Perneira de bidin fechamento em Velcro</t>
  </si>
  <si>
    <t>QUADRO RESUMO</t>
  </si>
  <si>
    <t>CUSTO MENSAL</t>
  </si>
  <si>
    <t>CUSTO MENSAL/POSTO</t>
  </si>
  <si>
    <t>Oficial de Manutenção Predial</t>
  </si>
  <si>
    <t>Materiais</t>
  </si>
  <si>
    <t>Materiais específicos</t>
  </si>
  <si>
    <t>Equipamentos</t>
  </si>
  <si>
    <t>Uniformes</t>
  </si>
  <si>
    <t>Auxiliar de Manutenção Predial</t>
  </si>
  <si>
    <t>Jardineiro</t>
  </si>
  <si>
    <t>Materiais complementares</t>
  </si>
  <si>
    <t>TOTAIS</t>
  </si>
  <si>
    <t>Quantidade de POSTOS alocado na prestação dos serviços</t>
  </si>
  <si>
    <t>Quantidade da mão de obra alocada na prestação dos serviços</t>
  </si>
  <si>
    <t>OBS.: Pesquisa de preços realizado na plataforma Banco de Preços e em sites da internet, conforme documentação anexa ao processo.</t>
  </si>
  <si>
    <t>GRAVATAÍ</t>
  </si>
  <si>
    <t>Tinta acrílica emborrachada, de primeira linha, qualificada pela ABRAFATI, que atenda a NBR 11702/2010, com elasticidade para acompanhar a movimentação natural das trincas e fissuras existentes, marca Suvinil (Proteção Total) ou similar. Cores vermelho, vermelho-contemporâneo, vermelho-escarlate, vermelho-jalapeño ou outra tonalidade similar (a depender da atualização da nomenclatura da paleta de cores do fabricante), acabamento fosco. As tonalidades das tintas a serem utilizadas deverão ser aprovadas pela Diretoria de Projetos e Obras. Será necessária a preparação da superfície com o uso de uma demão de fundo preparador do mesmo fabricante da tinta e específico para o tipo de tinta utilizada - não considerado no quantitativo. A pintura deverá ser feita com aplicação de no mínimo três demãos ou quantas mais forem necessárias para um perfeito cobrimento da tinta, com diluição recomendada pelo fabricante. Deverá ser utilizada fita de papel gomado para acabamento, tomando-se o cuidado para não haver respingos em outras paredes, pisos ou aberturas. O ambiente deverá ser entregue limpo e organizado ao final da pintura. Fornecimento de material para pintura, incluindo todas as tintas, pincéis, rolos, lixas, desempenadeiras, espátulas, andaimes, telas para proteção de fachadas, lonas plásticas, equipamentos de proteção individual e coletiva e quaisquer outros materiais ou equipamentos que se fizerem necessários para a completa execução do serviço, tudo por conta da CONTRATADA.</t>
  </si>
  <si>
    <t>Serra circular mínimo 1500W</t>
  </si>
  <si>
    <t>Inversor de solda portátil</t>
  </si>
  <si>
    <t>Lavadora De Alta Pressão</t>
  </si>
  <si>
    <t>Motosserra</t>
  </si>
  <si>
    <t>Rede protetora para roçagem com rodas e apoio com dimensão mínima de 2 metros de altura X 3 metros de largura</t>
  </si>
  <si>
    <t>SAPIRANGA</t>
  </si>
  <si>
    <t xml:space="preserve">JARDINEIRO </t>
  </si>
  <si>
    <t>LEI 14.133/2021 - RESUMO GERAL</t>
  </si>
  <si>
    <t>QUADRO-RESUMO DOS SERVIÇOS - Regime de Tributação: Lucro Real</t>
  </si>
  <si>
    <r>
      <rPr>
        <b/>
        <sz val="18"/>
        <color theme="1"/>
        <rFont val="Arial"/>
      </rPr>
      <t xml:space="preserve">ANEXO ----  </t>
    </r>
    <r>
      <rPr>
        <b/>
        <sz val="18"/>
        <color rgb="FFFF0000"/>
        <rFont val="Arial"/>
      </rPr>
      <t xml:space="preserve">do Pregão nº XX/2024 – </t>
    </r>
    <r>
      <rPr>
        <b/>
        <sz val="18"/>
        <color rgb="FF0000FF"/>
        <rFont val="Arial"/>
      </rPr>
      <t xml:space="preserve">CONTA VINCULADA
</t>
    </r>
    <r>
      <rPr>
        <b/>
        <sz val="18"/>
        <color theme="1"/>
        <rFont val="Arial"/>
      </rPr>
      <t xml:space="preserve">MODELO DE PLANILHA DE CUSTOS E FORMAÇÃO DE PREÇOS </t>
    </r>
    <r>
      <rPr>
        <b/>
        <sz val="18"/>
        <color rgb="FF800080"/>
        <rFont val="Arial"/>
      </rPr>
      <t xml:space="preserve"> </t>
    </r>
    <r>
      <rPr>
        <b/>
        <sz val="18"/>
        <color theme="1"/>
        <rFont val="Arial"/>
      </rPr>
      <t xml:space="preserve"> </t>
    </r>
  </si>
  <si>
    <t>Nº do processo:</t>
  </si>
  <si>
    <t>xxxx</t>
  </si>
  <si>
    <t>Licitação nº:</t>
  </si>
  <si>
    <t>Dia:</t>
  </si>
  <si>
    <t>DISCRIMINAÇÃO DOS SERVIÇOS (DADOS REFERENTES À CONTRATAÇÃO)</t>
  </si>
  <si>
    <t>A</t>
  </si>
  <si>
    <t>Data de apresentação da proposta (dia/mês/ano)</t>
  </si>
  <si>
    <t>B</t>
  </si>
  <si>
    <t>UG/UASG Gerenciadora da Contratação</t>
  </si>
  <si>
    <t>26436/158126</t>
  </si>
  <si>
    <t>C</t>
  </si>
  <si>
    <t>Data base do Orçamento Estimado (Planilha de Ref.)</t>
  </si>
  <si>
    <t>D</t>
  </si>
  <si>
    <t>Número de meses de execução contratual</t>
  </si>
  <si>
    <t xml:space="preserve"> VALOR MENSAL DOS SERVIÇOS</t>
  </si>
  <si>
    <t>Item</t>
  </si>
  <si>
    <t>Unidade de Execução</t>
  </si>
  <si>
    <t>Tipo de serviço (A)</t>
  </si>
  <si>
    <t xml:space="preserve">Valor Proposto  por Empregado  (B) </t>
  </si>
  <si>
    <t xml:space="preserve">Qtde. de Empregados por Posto (C) </t>
  </si>
  <si>
    <t xml:space="preserve">Valor Proposto  por Posto  (D) = (B x C) </t>
  </si>
  <si>
    <t xml:space="preserve">Qtde. de  Postos  (E) </t>
  </si>
  <si>
    <t xml:space="preserve">Valor Total do Serviço (F) = (D x E) </t>
  </si>
  <si>
    <t>I</t>
  </si>
  <si>
    <t>Gravataí</t>
  </si>
  <si>
    <t>Of. de Manut. Predial</t>
  </si>
  <si>
    <t>II</t>
  </si>
  <si>
    <t>Aux. Manut. Predial</t>
  </si>
  <si>
    <t>III</t>
  </si>
  <si>
    <t>Jardinagem</t>
  </si>
  <si>
    <t>IV</t>
  </si>
  <si>
    <t>Lajeado</t>
  </si>
  <si>
    <t>V</t>
  </si>
  <si>
    <t>VI</t>
  </si>
  <si>
    <t>VII</t>
  </si>
  <si>
    <t>Sapiranga</t>
  </si>
  <si>
    <t>VIII</t>
  </si>
  <si>
    <t>Valor Mensal dos Serviços</t>
  </si>
  <si>
    <t xml:space="preserve">QUADRO DEMONSTRATIVO DO VALOR GLOBAL DA PROPOSTA </t>
  </si>
  <si>
    <t>Valor mensal do serviço</t>
  </si>
  <si>
    <t>Valor Anual da Contratação</t>
  </si>
  <si>
    <t>Número de meses do Contrato</t>
  </si>
  <si>
    <t>Valor Global do Proposta (Valor mensal do serviço x  nº de meses do contrato).</t>
  </si>
  <si>
    <t>LEI 14.133/2021 - LAJEADO</t>
  </si>
  <si>
    <t>Oficial de Manutenção Predial - Regime de Tributação: Lucro Real</t>
  </si>
  <si>
    <r>
      <rPr>
        <b/>
        <sz val="18"/>
        <color theme="1"/>
        <rFont val="Arial"/>
      </rPr>
      <t xml:space="preserve">ANEXO ----  </t>
    </r>
    <r>
      <rPr>
        <b/>
        <sz val="18"/>
        <color rgb="FFFF0000"/>
        <rFont val="Arial"/>
      </rPr>
      <t xml:space="preserve">do Pregão nº XX/2024 – </t>
    </r>
    <r>
      <rPr>
        <b/>
        <sz val="18"/>
        <color rgb="FF0000FF"/>
        <rFont val="Arial"/>
      </rPr>
      <t xml:space="preserve">CONTA VINCULADA
</t>
    </r>
    <r>
      <rPr>
        <b/>
        <sz val="18"/>
        <color theme="1"/>
        <rFont val="Arial"/>
      </rPr>
      <t xml:space="preserve">PLANILHA DE CUSTOS E FORMAÇÃO DE PREÇOS </t>
    </r>
    <r>
      <rPr>
        <b/>
        <sz val="18"/>
        <color rgb="FF800080"/>
        <rFont val="Arial"/>
      </rPr>
      <t xml:space="preserve"> </t>
    </r>
    <r>
      <rPr>
        <b/>
        <sz val="18"/>
        <color theme="1"/>
        <rFont val="Arial"/>
      </rPr>
      <t xml:space="preserve"> </t>
    </r>
  </si>
  <si>
    <t>xxxxx</t>
  </si>
  <si>
    <t>Município/UF</t>
  </si>
  <si>
    <t>Lajeado/RS</t>
  </si>
  <si>
    <t>Ano do Acordo, Convenção ou Dissídio Coletivo</t>
  </si>
  <si>
    <t>CONVENÇÃO COLETIVA DE TRABALHO 2024/2025  - MTE RS002055/2024</t>
  </si>
  <si>
    <r>
      <rPr>
        <b/>
        <sz val="10"/>
        <color theme="1"/>
        <rFont val="Arial"/>
      </rPr>
      <t xml:space="preserve">Número de meses de execução contratual </t>
    </r>
    <r>
      <rPr>
        <b/>
        <sz val="10"/>
        <color rgb="FFFF0000"/>
        <rFont val="Arial"/>
      </rPr>
      <t>[Para efeito da análise dos Custos Não Renováveis (Analisar a exclusão dos CNR anualmente, em cada repactuação)]</t>
    </r>
  </si>
  <si>
    <r>
      <rPr>
        <b/>
        <sz val="15"/>
        <color theme="1"/>
        <rFont val="Arial"/>
      </rPr>
      <t xml:space="preserve">1. MÓDULOS 
</t>
    </r>
    <r>
      <rPr>
        <b/>
        <sz val="12"/>
        <color theme="1"/>
        <rFont val="Arial"/>
      </rPr>
      <t xml:space="preserve">Mão de obra
</t>
    </r>
    <r>
      <rPr>
        <b/>
        <sz val="11"/>
        <color theme="1"/>
        <rFont val="Arial"/>
      </rPr>
      <t>Mão de obra vinculada à execução contratual</t>
    </r>
  </si>
  <si>
    <t>Dados para composição dos custos referente à mão de obra</t>
  </si>
  <si>
    <t>Tipo de Serviço (mesmo serviço com características distintas)</t>
  </si>
  <si>
    <t>Manutenção Predial</t>
  </si>
  <si>
    <t>Classificação Brasileira de Ocupações (CBO)</t>
  </si>
  <si>
    <t>5143-25</t>
  </si>
  <si>
    <t>Salário Normativo da Categoria Profissional - para a jornada de 44 h/sem</t>
  </si>
  <si>
    <t>Categoria Profissional (vinculada à execução contratual)</t>
  </si>
  <si>
    <t>Data-Base da Categoria (dia/mês/ano)</t>
  </si>
  <si>
    <t>1º de maio de 2024</t>
  </si>
  <si>
    <t>Módulo 1: Composição da Remuneração</t>
  </si>
  <si>
    <t xml:space="preserve">Composição da Remuneração </t>
  </si>
  <si>
    <t>Percentual
(R$)</t>
  </si>
  <si>
    <t xml:space="preserve">Valor
(R$) </t>
  </si>
  <si>
    <r>
      <rPr>
        <b/>
        <sz val="10"/>
        <color theme="1"/>
        <rFont val="Arial"/>
      </rPr>
      <t xml:space="preserve">Salário-Base   </t>
    </r>
    <r>
      <rPr>
        <b/>
        <sz val="10"/>
        <color rgb="FFFF0000"/>
        <rFont val="Arial"/>
      </rPr>
      <t xml:space="preserve"> (25h/semana) 
</t>
    </r>
    <r>
      <rPr>
        <b/>
        <sz val="10"/>
        <color theme="1"/>
        <rFont val="Arial"/>
      </rPr>
      <t xml:space="preserve">         </t>
    </r>
  </si>
  <si>
    <t xml:space="preserve">Adicional de Periculosidade </t>
  </si>
  <si>
    <t xml:space="preserve">Adicional Noturno </t>
  </si>
  <si>
    <t>Adicional de Hora Noturna Reduzida</t>
  </si>
  <si>
    <t>E</t>
  </si>
  <si>
    <t xml:space="preserve">Adicional de Hora Extra no Feriado Trabalhado </t>
  </si>
  <si>
    <t>Adicional de Insalubridade</t>
  </si>
  <si>
    <t xml:space="preserve">Total </t>
  </si>
  <si>
    <t>Módulo 2 – Encargos e Benefícios Anuais, Mensais e Diários</t>
  </si>
  <si>
    <r>
      <rPr>
        <b/>
        <sz val="11"/>
        <color theme="1"/>
        <rFont val="Arial"/>
      </rPr>
      <t>Submódulo 2.1 – 13º (décimo terceiro) Salário</t>
    </r>
    <r>
      <rPr>
        <b/>
        <sz val="11"/>
        <color theme="1"/>
        <rFont val="Arial"/>
      </rPr>
      <t xml:space="preserve"> e Adicional de Férias</t>
    </r>
  </si>
  <si>
    <t>2.1</t>
  </si>
  <si>
    <r>
      <rPr>
        <b/>
        <sz val="11"/>
        <color theme="1"/>
        <rFont val="Arial"/>
      </rPr>
      <t>13º (décimo terceiro) Salário</t>
    </r>
    <r>
      <rPr>
        <b/>
        <sz val="11"/>
        <color rgb="FFFF0000"/>
        <rFont val="Arial"/>
      </rPr>
      <t xml:space="preserve"> </t>
    </r>
    <r>
      <rPr>
        <b/>
        <sz val="11"/>
        <color theme="1"/>
        <rFont val="Arial"/>
      </rPr>
      <t>e Adicional de Férias</t>
    </r>
  </si>
  <si>
    <t>Valor (R$)</t>
  </si>
  <si>
    <r>
      <rPr>
        <b/>
        <sz val="10"/>
        <color theme="1"/>
        <rFont val="Arial"/>
      </rPr>
      <t>13º (décimo terceiro) Salário</t>
    </r>
    <r>
      <rPr>
        <b/>
        <sz val="11"/>
        <color rgb="FF000000"/>
        <rFont val="Arial"/>
      </rPr>
      <t xml:space="preserve"> </t>
    </r>
    <r>
      <rPr>
        <b/>
        <sz val="8"/>
        <color rgb="FFFF0000"/>
        <rFont val="Arial"/>
      </rPr>
      <t>Obrigatória a cotação de 8,33% sobre o valor do Módulo 1 – Composição da Remuneração, conforme Anexo XII da IN 5/17</t>
    </r>
  </si>
  <si>
    <r>
      <rPr>
        <b/>
        <sz val="10"/>
        <color rgb="FF000000"/>
        <rFont val="Arial"/>
      </rPr>
      <t>Adicional de Férias</t>
    </r>
    <r>
      <rPr>
        <b/>
        <sz val="10"/>
        <color rgb="FF009900"/>
        <rFont val="Arial"/>
      </rPr>
      <t xml:space="preserve"> </t>
    </r>
    <r>
      <rPr>
        <b/>
        <sz val="8"/>
        <color rgb="FFFF0000"/>
        <rFont val="Arial"/>
      </rPr>
      <t>Obrigatória a cotação de 3,025% sobre o valor do Módulo 1 – Composição da Remuneração, conforme Anexo XII da IN 5/17 (Férias + Adicional = 9,075% + 3,025% = 12,10%)</t>
    </r>
  </si>
  <si>
    <t>Total</t>
  </si>
  <si>
    <t>Incidência dos encargos do Submódulo 2.2 sobre o total do Submódulo 2.1</t>
  </si>
  <si>
    <t>Submódulo 2.2 - Encargos Previdenciários (GPS), Fundo de Garantia por Tempo de Serviço (FGTS) e outras contribuições</t>
  </si>
  <si>
    <t>2.2</t>
  </si>
  <si>
    <t>GPS, FGTS e outras contribuições</t>
  </si>
  <si>
    <t>Percentual (%)</t>
  </si>
  <si>
    <t>Valor
 (R$)</t>
  </si>
  <si>
    <t>INSS</t>
  </si>
  <si>
    <t>Salário Educação</t>
  </si>
  <si>
    <t xml:space="preserve">RAT x FAP
</t>
  </si>
  <si>
    <t>RAT =</t>
  </si>
  <si>
    <t xml:space="preserve"> FAP =</t>
  </si>
  <si>
    <t>SESC ou SESI</t>
  </si>
  <si>
    <t>SENAC ou SENAI</t>
  </si>
  <si>
    <t>F</t>
  </si>
  <si>
    <t>SEBRAE</t>
  </si>
  <si>
    <t>G</t>
  </si>
  <si>
    <t>INCRA</t>
  </si>
  <si>
    <t>H</t>
  </si>
  <si>
    <t>FGTS</t>
  </si>
  <si>
    <t>Submódulo 2.3 – Benefícios Mensais e Diários</t>
  </si>
  <si>
    <t>2.3</t>
  </si>
  <si>
    <t>Benefícios Mensais e Diários</t>
  </si>
  <si>
    <r>
      <rPr>
        <b/>
        <sz val="10"/>
        <color theme="1"/>
        <rFont val="Arial"/>
      </rPr>
      <t xml:space="preserve">Transporte                                              </t>
    </r>
    <r>
      <rPr>
        <b/>
        <sz val="10"/>
        <color rgb="FFFF0000"/>
        <rFont val="Arial"/>
      </rPr>
      <t xml:space="preserve"> Cálculo do valor: [(2xVTx22) – (6%xSB)]</t>
    </r>
  </si>
  <si>
    <t xml:space="preserve">      A.1) Valor da passagem do transporte coletivo no município de prestação dos serviços: </t>
  </si>
  <si>
    <t>-</t>
  </si>
  <si>
    <t xml:space="preserve">      A.2) Quantidade de passagens por dia por empregado:</t>
  </si>
  <si>
    <t xml:space="preserve">      A.3) Quantidade de dias do mês de recebimento de passagens</t>
  </si>
  <si>
    <t xml:space="preserve">      A.4) Participação do empregado em percentual do salário-base</t>
  </si>
  <si>
    <t xml:space="preserve">Cesta ou Auxílio-Refeição/Alimentação </t>
  </si>
  <si>
    <t xml:space="preserve">      B.1) Valor do auxílio-alimentação: </t>
  </si>
  <si>
    <t xml:space="preserve">      B.2) Participação do empregado em percentual</t>
  </si>
  <si>
    <t>Seguro contra riscos de acidente de trabalho</t>
  </si>
  <si>
    <t>Quadro-Resumo do Módulo 2 – Encargos e Benefícios Anuais, Mensais e Diários</t>
  </si>
  <si>
    <t>Encargos e Benefícios Anuais, Mensais e Diários</t>
  </si>
  <si>
    <r>
      <rPr>
        <b/>
        <sz val="10"/>
        <color theme="1"/>
        <rFont val="Arial"/>
      </rPr>
      <t xml:space="preserve">13º (décimo terceiro) Salário </t>
    </r>
    <r>
      <rPr>
        <b/>
        <sz val="10"/>
        <color theme="1"/>
        <rFont val="Arial"/>
      </rPr>
      <t>e Adicional de Férias</t>
    </r>
  </si>
  <si>
    <t>Módulo 3 - Provisão para Rescisão</t>
  </si>
  <si>
    <t>Provisão para Rescisão</t>
  </si>
  <si>
    <t>Valor  (R$)</t>
  </si>
  <si>
    <r>
      <rPr>
        <b/>
        <sz val="10"/>
        <color theme="1"/>
        <rFont val="Arial"/>
      </rPr>
      <t xml:space="preserve">Aviso Prévio Indenizado     </t>
    </r>
    <r>
      <rPr>
        <b/>
        <sz val="8"/>
        <color rgb="FFFF0000"/>
        <rFont val="Arial"/>
      </rPr>
      <t>Aviso-prévio indenizado     Cálculo do valor = {Rem/12 + 13º/12=(Rem/12)/12 + Férias/12=(Rem/12)/12 + (1/3xFérias)/12=1/3x[(Rem/12)/12]} x (30/30=1) x 5% de rotatividade anual - Os reflexos de 13º, F e 1/3F são referentes a 1 mês de APInd - Na prorrogação, poderão ser considerados 3 dias conforme Lei nº 12.506/2011, dependendo da análise do nº de ocorrências deste evento no período</t>
    </r>
  </si>
  <si>
    <t>Incidência do FGTS sobre o Aviso Prévio Indenizado</t>
  </si>
  <si>
    <r>
      <rPr>
        <b/>
        <sz val="10"/>
        <color theme="1"/>
        <rFont val="Arial"/>
      </rPr>
      <t xml:space="preserve">Aviso Prévio Trabalhado                 (negociar extinção/redução na 1ª prorrogação)
</t>
    </r>
    <r>
      <rPr>
        <b/>
        <sz val="10"/>
        <color rgb="FFFF0000"/>
        <rFont val="Arial"/>
      </rPr>
      <t>Cálculo do valor= [(Rem/30)x7]/60 meses do contratox100% dos empregados - ao final do contrato</t>
    </r>
  </si>
  <si>
    <t xml:space="preserve">Incidência dos encargos do Submódulo 2.2 sobre o Aviso Prévio Trabalhado         </t>
  </si>
  <si>
    <r>
      <rPr>
        <b/>
        <sz val="10"/>
        <color theme="1"/>
        <rFont val="Arial"/>
      </rPr>
      <t xml:space="preserve">Multa do FGTS e contribuição social sobre o Aviso Prévio Trabalhado e Aviso Prévio Indenizado. </t>
    </r>
    <r>
      <rPr>
        <b/>
        <sz val="8"/>
        <color rgb="FFFF0000"/>
        <rFont val="Arial"/>
      </rPr>
      <t>Obrigatória a cotação de 4,00% sobre o valor do Módulo 1 – Composição da Remuneração, conforme Anexo XII da IN Seges nº 5/2017</t>
    </r>
  </si>
  <si>
    <t>Módulo 4 - Custo de Reposição do Profissional Ausente</t>
  </si>
  <si>
    <t>Base de cálculo para o Custo de Reposição do Profissional Ausente (substituto): BCCPA = Rem + 13º + Férias + 1/3Férias</t>
  </si>
  <si>
    <t>4.1</t>
  </si>
  <si>
    <t>Substituto nas Ausências Legais</t>
  </si>
  <si>
    <t>Subsitituto na cobertura de Férias</t>
  </si>
  <si>
    <r>
      <rPr>
        <b/>
        <sz val="10"/>
        <color theme="1"/>
        <rFont val="Arial"/>
      </rPr>
      <t xml:space="preserve">Subsitituto na cobertura de Ausências Legais                </t>
    </r>
    <r>
      <rPr>
        <b/>
        <sz val="10"/>
        <color rgb="FFFF0000"/>
        <rFont val="Arial"/>
      </rPr>
      <t>Cálculo do valor = [(</t>
    </r>
    <r>
      <rPr>
        <b/>
        <sz val="10"/>
        <color rgb="FF0000FF"/>
        <rFont val="Arial"/>
      </rPr>
      <t>BCCPA</t>
    </r>
    <r>
      <rPr>
        <b/>
        <sz val="10"/>
        <color rgb="FFFF0000"/>
        <rFont val="Arial"/>
      </rPr>
      <t>/30)x2,96dias]/12</t>
    </r>
  </si>
  <si>
    <r>
      <rPr>
        <b/>
        <sz val="10"/>
        <color theme="1"/>
        <rFont val="Arial"/>
      </rPr>
      <t xml:space="preserve">Subsitituto na cobertura de Licença-Paternidade    </t>
    </r>
    <r>
      <rPr>
        <b/>
        <sz val="10"/>
        <color rgb="FFFF0000"/>
        <rFont val="Arial"/>
      </rPr>
      <t>Cálculo do valor = {[(</t>
    </r>
    <r>
      <rPr>
        <b/>
        <sz val="10"/>
        <color rgb="FF0000FF"/>
        <rFont val="Arial"/>
      </rPr>
      <t>BCCPA</t>
    </r>
    <r>
      <rPr>
        <b/>
        <sz val="10"/>
        <color rgb="FFFF0000"/>
        <rFont val="Arial"/>
      </rPr>
      <t>/30)x5dias]/12}x1,5%</t>
    </r>
  </si>
  <si>
    <r>
      <rPr>
        <b/>
        <sz val="10"/>
        <color theme="1"/>
        <rFont val="Arial"/>
      </rPr>
      <t xml:space="preserve">Subsitituto na cobertura de Ausência por acidente de trabalho </t>
    </r>
    <r>
      <rPr>
        <b/>
        <sz val="10"/>
        <color rgb="FFFF0000"/>
        <rFont val="Arial"/>
      </rPr>
      <t>Cálculo do valor  = {[(</t>
    </r>
    <r>
      <rPr>
        <b/>
        <sz val="10"/>
        <color rgb="FF0000FF"/>
        <rFont val="Arial"/>
      </rPr>
      <t>BCCPA</t>
    </r>
    <r>
      <rPr>
        <b/>
        <sz val="10"/>
        <color rgb="FFFF0000"/>
        <rFont val="Arial"/>
      </rPr>
      <t>/30)x0,97dias]/12}</t>
    </r>
  </si>
  <si>
    <r>
      <rPr>
        <b/>
        <sz val="10"/>
        <color theme="1"/>
        <rFont val="Arial"/>
      </rPr>
      <t xml:space="preserve">Subsitituto na cobertura de Afastamento Maternidade   </t>
    </r>
    <r>
      <rPr>
        <b/>
        <sz val="10"/>
        <color rgb="FFFF0000"/>
        <rFont val="Arial"/>
      </rPr>
      <t>Cálculo do valor = [((Férias + Férias / 3) + SUB2.2 x (Férias + Férias / 3)) x (4/12)] x 2% + [( FGTS x Rem + SUB 2.2 x 13º + SUB2.3 – VA – VT + MÓD3) x (4/12)] } x 2%     
Não incide Contribuição Previdenciária Patronal (INSS + 3ªs entidades) sobre a Remuneração da empregada residente nos 4 meses de Afastamento, conforme Solução de Consulta Cosit/RFB nº 27/2023, publicada na pág. 20 da Seção 1 do DOU de 09/02/2023. A Remuneração e o 13º da empregada residente poderão ser compensados, por isso não constam da fórmula.</t>
    </r>
  </si>
  <si>
    <r>
      <rPr>
        <b/>
        <sz val="10"/>
        <color rgb="FF000000"/>
        <rFont val="Arial"/>
      </rPr>
      <t xml:space="preserve">Substituto na cobertura de Ausência por doença              </t>
    </r>
    <r>
      <rPr>
        <b/>
        <sz val="10"/>
        <color rgb="FFFF0000"/>
        <rFont val="Arial"/>
      </rPr>
      <t>Cálculo do valor = [(</t>
    </r>
    <r>
      <rPr>
        <b/>
        <sz val="10"/>
        <color rgb="FF0000FF"/>
        <rFont val="Arial"/>
      </rPr>
      <t>BCCPA</t>
    </r>
    <r>
      <rPr>
        <b/>
        <sz val="10"/>
        <color rgb="FFFF0000"/>
        <rFont val="Arial"/>
      </rPr>
      <t>)/30)x3dias]/12</t>
    </r>
  </si>
  <si>
    <t>Incidência dos encargos do Submódulo 2.2 sobre o  total do Submódulo 4.1</t>
  </si>
  <si>
    <t>Submódulo 4.2 – Subistituto na Intrajornada</t>
  </si>
  <si>
    <t xml:space="preserve">4.2 </t>
  </si>
  <si>
    <t>Substituto na Intrajornada</t>
  </si>
  <si>
    <t>Subsitituto na cobertura de Intervalo para repouso ou alimentação</t>
  </si>
  <si>
    <t>Incidência dos encargos do Submódulo 2.2 sobre o total do Submódulo 4.2</t>
  </si>
  <si>
    <t>Quadro-Resumo do Módulo 4 – Custo de Reposição do Profissional Ausente</t>
  </si>
  <si>
    <t>Custo de Reposição do Profissional Ausente</t>
  </si>
  <si>
    <t>Ausências Legais</t>
  </si>
  <si>
    <t>4.2</t>
  </si>
  <si>
    <t>Intrajornada</t>
  </si>
  <si>
    <t>Módulo 5 – Insumos Diversos</t>
  </si>
  <si>
    <t>Insumos diversos</t>
  </si>
  <si>
    <t xml:space="preserve">Uniformes </t>
  </si>
  <si>
    <t xml:space="preserve">Materiais </t>
  </si>
  <si>
    <t xml:space="preserve">Equipamentos </t>
  </si>
  <si>
    <t xml:space="preserve">Outros (especificar) </t>
  </si>
  <si>
    <t>0.00</t>
  </si>
  <si>
    <t>Módulo 6 -  Custos Indiretos, Lucro e Tributos</t>
  </si>
  <si>
    <t xml:space="preserve">Custos Indiretos, Lucro e Tributos </t>
  </si>
  <si>
    <t>Valor
(R$)</t>
  </si>
  <si>
    <t>BASE DE CÁLCULO DOS CUSTOS INDIRETOS</t>
  </si>
  <si>
    <t>Custos Indiretos</t>
  </si>
  <si>
    <t>BASE DE CÁLCULO DO LUCRO</t>
  </si>
  <si>
    <t>Lucro</t>
  </si>
  <si>
    <t>BASE DE CÁLCULO DOS TRIBUTOS</t>
  </si>
  <si>
    <t>Tributos</t>
  </si>
  <si>
    <t>C.1    Tributos Federais (especificar)</t>
  </si>
  <si>
    <r>
      <rPr>
        <b/>
        <sz val="10"/>
        <color theme="1"/>
        <rFont val="Arial"/>
      </rPr>
      <t xml:space="preserve">  a) Cofins  </t>
    </r>
    <r>
      <rPr>
        <sz val="10"/>
        <color rgb="FFFF0000"/>
        <rFont val="Arial"/>
      </rPr>
      <t>(depende do regime de tributação - utilizada a hipótese de Lucro Real)</t>
    </r>
  </si>
  <si>
    <r>
      <rPr>
        <b/>
        <sz val="10"/>
        <color theme="1"/>
        <rFont val="Arial"/>
      </rPr>
      <t xml:space="preserve">  b) PIS </t>
    </r>
    <r>
      <rPr>
        <sz val="10"/>
        <color rgb="FFFF0000"/>
        <rFont val="Arial"/>
      </rPr>
      <t>(depende do regime de tributação - utilizada a hipótese de Lucro Real)</t>
    </r>
  </si>
  <si>
    <t xml:space="preserve"> c) IRPJ</t>
  </si>
  <si>
    <t xml:space="preserve"> d) CSLL</t>
  </si>
  <si>
    <t>C.2   Tributos Estaduais (especificar)</t>
  </si>
  <si>
    <t>C.3   Tributos Municipais (especificar):</t>
  </si>
  <si>
    <t>a) ISS             (LEI MUNICIPAL Nº 2714 DE 31/12/1973 - LAJEADO)</t>
  </si>
  <si>
    <t xml:space="preserve">Percentual Total e Valor Total de Tributos  </t>
  </si>
  <si>
    <t>Cálculo dos Tributos</t>
  </si>
  <si>
    <t xml:space="preserve">                  Base de Cálculo para os Tributos</t>
  </si>
  <si>
    <t xml:space="preserve"> = ( ---------------------------------------------------------------- ) x Alíquota do Tributo</t>
  </si>
  <si>
    <t xml:space="preserve">         1 - (Total de Tributos em % dividido por 100)</t>
  </si>
  <si>
    <t xml:space="preserve">
2. QUADRO-RESUMO DO CUSTO POR EMPREGADO
</t>
  </si>
  <si>
    <t xml:space="preserve">                          Mão de obra vinculada à execução contratual (valor por empregado)</t>
  </si>
  <si>
    <t>Módulo 1 - Composição da Remuneração</t>
  </si>
  <si>
    <t>Módulo 3 – Provisão para Rescisão</t>
  </si>
  <si>
    <t>Módulo 4 – Custo de Reposição do Profissional Ausente</t>
  </si>
  <si>
    <t xml:space="preserve">Módulo 5 - Insumo Diversos </t>
  </si>
  <si>
    <t>Subtotal (A + B + C + D + E)</t>
  </si>
  <si>
    <t>Módulo 6 - Custos Indiretos, Lucro e Tributos</t>
  </si>
  <si>
    <t>Valor Total por Empregado</t>
  </si>
  <si>
    <t>QUANTIDADE DE COLABORADORES ALOCADOS NA EXECUÇÃO CONTRATUAL (item 6.2.e do Anexo VII da IN nº 5/2017)</t>
  </si>
  <si>
    <t>Tipo de Mão de Obra</t>
  </si>
  <si>
    <t>Quantidade de Pessoal</t>
  </si>
  <si>
    <t>Aux. Manutenção Predial - Regime de Tributação: Lucro Real</t>
  </si>
  <si>
    <r>
      <rPr>
        <b/>
        <sz val="18"/>
        <color theme="1"/>
        <rFont val="Arial"/>
      </rPr>
      <t xml:space="preserve">ANEXO ----  </t>
    </r>
    <r>
      <rPr>
        <b/>
        <sz val="18"/>
        <color rgb="FFFF0000"/>
        <rFont val="Arial"/>
      </rPr>
      <t xml:space="preserve">do Pregão nº XX/2024 – </t>
    </r>
    <r>
      <rPr>
        <b/>
        <sz val="18"/>
        <color rgb="FF0000FF"/>
        <rFont val="Arial"/>
      </rPr>
      <t xml:space="preserve">CONTA VINCULADA
</t>
    </r>
    <r>
      <rPr>
        <b/>
        <sz val="18"/>
        <color theme="1"/>
        <rFont val="Arial"/>
      </rPr>
      <t xml:space="preserve">PLANILHA DE CUSTOS E FORMAÇÃO DE PREÇOS </t>
    </r>
    <r>
      <rPr>
        <b/>
        <sz val="18"/>
        <color rgb="FF800080"/>
        <rFont val="Arial"/>
      </rPr>
      <t xml:space="preserve"> </t>
    </r>
    <r>
      <rPr>
        <b/>
        <sz val="18"/>
        <color theme="1"/>
        <rFont val="Arial"/>
      </rPr>
      <t xml:space="preserve"> </t>
    </r>
  </si>
  <si>
    <t>CONVENÇÃO COLETIVA DE TRABALHO 2024 - MTE:  RS004919/2023</t>
  </si>
  <si>
    <r>
      <rPr>
        <b/>
        <sz val="10"/>
        <color theme="1"/>
        <rFont val="Arial"/>
      </rPr>
      <t xml:space="preserve">Número de meses de execução contratual </t>
    </r>
    <r>
      <rPr>
        <b/>
        <sz val="10"/>
        <color rgb="FFFF0000"/>
        <rFont val="Arial"/>
      </rPr>
      <t>[Para efeito da análise dos Custos Não Renováveis (Analisar a exclusão dos CNR anualmente, em cada repactuação)]</t>
    </r>
  </si>
  <si>
    <r>
      <rPr>
        <b/>
        <sz val="15"/>
        <color theme="1"/>
        <rFont val="Arial"/>
      </rPr>
      <t xml:space="preserve">1. MÓDULOS 
</t>
    </r>
    <r>
      <rPr>
        <b/>
        <sz val="12"/>
        <color theme="1"/>
        <rFont val="Arial"/>
      </rPr>
      <t xml:space="preserve">Mão de obra
</t>
    </r>
    <r>
      <rPr>
        <b/>
        <sz val="11"/>
        <color theme="1"/>
        <rFont val="Arial"/>
      </rPr>
      <t>Mão de obra vinculada à execução contratual</t>
    </r>
  </si>
  <si>
    <t>5143-10</t>
  </si>
  <si>
    <t>1º de janeiro de 2024</t>
  </si>
  <si>
    <r>
      <rPr>
        <b/>
        <sz val="10"/>
        <color theme="1"/>
        <rFont val="Arial"/>
      </rPr>
      <t xml:space="preserve">Salário-Base   </t>
    </r>
    <r>
      <rPr>
        <b/>
        <sz val="10"/>
        <color rgb="FFFF0000"/>
        <rFont val="Arial"/>
      </rPr>
      <t xml:space="preserve"> (25h/semana) 
</t>
    </r>
    <r>
      <rPr>
        <b/>
        <sz val="10"/>
        <color theme="1"/>
        <rFont val="Arial"/>
      </rPr>
      <t xml:space="preserve">         </t>
    </r>
  </si>
  <si>
    <r>
      <rPr>
        <b/>
        <sz val="11"/>
        <color theme="1"/>
        <rFont val="Arial"/>
      </rPr>
      <t>Submódulo 2.1 – 13º (décimo terceiro) Salário</t>
    </r>
    <r>
      <rPr>
        <b/>
        <sz val="11"/>
        <color theme="1"/>
        <rFont val="Arial"/>
      </rPr>
      <t xml:space="preserve"> e Adicional de Férias</t>
    </r>
  </si>
  <si>
    <r>
      <rPr>
        <b/>
        <sz val="11"/>
        <color theme="1"/>
        <rFont val="Arial"/>
      </rPr>
      <t>13º (décimo terceiro) Salário</t>
    </r>
    <r>
      <rPr>
        <b/>
        <sz val="11"/>
        <color rgb="FFFF0000"/>
        <rFont val="Arial"/>
      </rPr>
      <t xml:space="preserve"> </t>
    </r>
    <r>
      <rPr>
        <b/>
        <sz val="11"/>
        <color theme="1"/>
        <rFont val="Arial"/>
      </rPr>
      <t>e Adicional de Férias</t>
    </r>
  </si>
  <si>
    <r>
      <rPr>
        <b/>
        <sz val="10"/>
        <color theme="1"/>
        <rFont val="Arial"/>
      </rPr>
      <t>13º (décimo terceiro) Salário</t>
    </r>
    <r>
      <rPr>
        <b/>
        <sz val="11"/>
        <color rgb="FF000000"/>
        <rFont val="Arial"/>
      </rPr>
      <t xml:space="preserve"> </t>
    </r>
    <r>
      <rPr>
        <b/>
        <sz val="8"/>
        <color rgb="FFFF0000"/>
        <rFont val="Arial"/>
      </rPr>
      <t>Obrigatória a cotação de 8,33% sobre o valor do Módulo 1 – Composição da Remuneração, conforme Anexo XII da IN 5/17</t>
    </r>
  </si>
  <si>
    <r>
      <rPr>
        <b/>
        <sz val="10"/>
        <color rgb="FF000000"/>
        <rFont val="Arial"/>
      </rPr>
      <t>Adicional de Férias</t>
    </r>
    <r>
      <rPr>
        <b/>
        <sz val="10"/>
        <color rgb="FF009900"/>
        <rFont val="Arial"/>
      </rPr>
      <t xml:space="preserve"> </t>
    </r>
    <r>
      <rPr>
        <b/>
        <sz val="8"/>
        <color rgb="FFFF0000"/>
        <rFont val="Arial"/>
      </rPr>
      <t>Obrigatória a cotação de 3,025% sobre o valor do Módulo 1 – Composição da Remuneração, conforme Anexo XII da IN 5/17 (Férias + Adicional = 9,075% + 3,025% = 12,10%)</t>
    </r>
  </si>
  <si>
    <r>
      <rPr>
        <b/>
        <sz val="10"/>
        <color theme="1"/>
        <rFont val="Arial"/>
      </rPr>
      <t xml:space="preserve">Transporte                                              </t>
    </r>
    <r>
      <rPr>
        <b/>
        <sz val="10"/>
        <color rgb="FFFF0000"/>
        <rFont val="Arial"/>
      </rPr>
      <t xml:space="preserve"> Cálculo do valor: [(2xVTx22) – (6%xSB)]</t>
    </r>
  </si>
  <si>
    <t xml:space="preserve">      A.4) Participação do empregado em percentual do salário-base (cláus. 20 CCT 2023)</t>
  </si>
  <si>
    <r>
      <rPr>
        <b/>
        <sz val="10"/>
        <color theme="1"/>
        <rFont val="Arial"/>
      </rPr>
      <t xml:space="preserve">Auxílio-Refeição/Alimentação </t>
    </r>
    <r>
      <rPr>
        <b/>
        <sz val="10"/>
        <color rgb="FFFF0000"/>
        <rFont val="Arial"/>
      </rPr>
      <t>Cálculo do valor = [(22xVA)x(1-</t>
    </r>
    <r>
      <rPr>
        <b/>
        <sz val="10"/>
        <color rgb="FF0000FF"/>
        <rFont val="Arial"/>
      </rPr>
      <t>0,19</t>
    </r>
    <r>
      <rPr>
        <b/>
        <sz val="10"/>
        <color rgb="FFFF0000"/>
        <rFont val="Arial"/>
      </rPr>
      <t>)]</t>
    </r>
  </si>
  <si>
    <t xml:space="preserve">      B.1) Valor do auxílio-alimentação (clausula 19ª da CCT 2023): </t>
  </si>
  <si>
    <t xml:space="preserve">      B.2) Quantidade de dias do mês de recebimento de auxílio-alimentação</t>
  </si>
  <si>
    <t xml:space="preserve">Plano de Benefício Social Familiar (clausula 29º da CCT 2023) </t>
  </si>
  <si>
    <r>
      <rPr>
        <b/>
        <sz val="10"/>
        <color theme="1"/>
        <rFont val="Arial"/>
      </rPr>
      <t xml:space="preserve">13º (décimo terceiro) Salário </t>
    </r>
    <r>
      <rPr>
        <b/>
        <sz val="10"/>
        <color theme="1"/>
        <rFont val="Arial"/>
      </rPr>
      <t>e Adicional de Férias</t>
    </r>
  </si>
  <si>
    <r>
      <rPr>
        <b/>
        <sz val="10"/>
        <color theme="1"/>
        <rFont val="Arial"/>
      </rPr>
      <t xml:space="preserve">Aviso Prévio Indenizado     </t>
    </r>
    <r>
      <rPr>
        <b/>
        <sz val="8"/>
        <color rgb="FFFF0000"/>
        <rFont val="Arial"/>
      </rPr>
      <t>Aviso-prévio indenizado     Cálculo do valor = {Rem/12 + 13º/12=(Rem/12)/12 + Férias/12=(Rem/12)/12 + (1/3xFérias)/12=1/3x[(Rem/12)/12]} x (30/30=1) x 5% de rotatividade anual - Os reflexos de 13º, F e 1/3F são referentes a 1 mês de APInd - Na prorrogação, poderão ser considerados 3 dias conforme Lei nº 12.506/2011, dependendo da análise do nº de ocorrências deste evento no período</t>
    </r>
  </si>
  <si>
    <r>
      <rPr>
        <b/>
        <sz val="10"/>
        <color theme="1"/>
        <rFont val="Arial"/>
      </rPr>
      <t xml:space="preserve">Aviso Prévio Trabalhado                 (negociar extinção/redução na 1ª prorrogação)
</t>
    </r>
    <r>
      <rPr>
        <b/>
        <sz val="10"/>
        <color rgb="FFFF0000"/>
        <rFont val="Arial"/>
      </rPr>
      <t>Cálculo do valor= [(Rem/30)x7]/12 meses do contratox100% dos empregados - ao final do contrato</t>
    </r>
  </si>
  <si>
    <r>
      <rPr>
        <b/>
        <sz val="10"/>
        <color theme="1"/>
        <rFont val="Arial"/>
      </rPr>
      <t xml:space="preserve">Multa do FGTS e contribuição social sobre o Aviso Prévio Trabalhado e Aviso Prévio Indenizado. </t>
    </r>
    <r>
      <rPr>
        <b/>
        <sz val="8"/>
        <color rgb="FFFF0000"/>
        <rFont val="Arial"/>
      </rPr>
      <t>Obrigatória a cotação de 4,00% sobre o valor do Módulo 1 – Composição da Remuneração, conforme Anexo XII da IN Seges nº 5/2017</t>
    </r>
  </si>
  <si>
    <r>
      <rPr>
        <b/>
        <sz val="10"/>
        <color theme="1"/>
        <rFont val="Arial"/>
      </rPr>
      <t xml:space="preserve">Subsitituto na cobertura de Ausências Legais                </t>
    </r>
    <r>
      <rPr>
        <b/>
        <sz val="10"/>
        <color rgb="FFFF0000"/>
        <rFont val="Arial"/>
      </rPr>
      <t>Cálculo do valor = [(</t>
    </r>
    <r>
      <rPr>
        <b/>
        <sz val="10"/>
        <color rgb="FF0000FF"/>
        <rFont val="Arial"/>
      </rPr>
      <t>BCCPA</t>
    </r>
    <r>
      <rPr>
        <b/>
        <sz val="10"/>
        <color rgb="FFFF0000"/>
        <rFont val="Arial"/>
      </rPr>
      <t>/30)x2,96dias]/12</t>
    </r>
  </si>
  <si>
    <r>
      <rPr>
        <b/>
        <sz val="10"/>
        <color theme="1"/>
        <rFont val="Arial"/>
      </rPr>
      <t xml:space="preserve">Subsitituto na cobertura de Licença-Paternidade    </t>
    </r>
    <r>
      <rPr>
        <b/>
        <sz val="10"/>
        <color rgb="FFFF0000"/>
        <rFont val="Arial"/>
      </rPr>
      <t>Cálculo do valor = {[(</t>
    </r>
    <r>
      <rPr>
        <b/>
        <sz val="10"/>
        <color rgb="FF0000FF"/>
        <rFont val="Arial"/>
      </rPr>
      <t>BCCPA</t>
    </r>
    <r>
      <rPr>
        <b/>
        <sz val="10"/>
        <color rgb="FFFF0000"/>
        <rFont val="Arial"/>
      </rPr>
      <t>/30)x5dias]/12}x1,5%</t>
    </r>
  </si>
  <si>
    <r>
      <rPr>
        <b/>
        <sz val="10"/>
        <color theme="1"/>
        <rFont val="Arial"/>
      </rPr>
      <t xml:space="preserve">Subsitituto na cobertura de Ausência por acidente de trabalho </t>
    </r>
    <r>
      <rPr>
        <b/>
        <sz val="10"/>
        <color rgb="FFFF0000"/>
        <rFont val="Arial"/>
      </rPr>
      <t>Cálculo do valor  = {[(</t>
    </r>
    <r>
      <rPr>
        <b/>
        <sz val="10"/>
        <color rgb="FF0000FF"/>
        <rFont val="Arial"/>
      </rPr>
      <t>BCCPA</t>
    </r>
    <r>
      <rPr>
        <b/>
        <sz val="10"/>
        <color rgb="FFFF0000"/>
        <rFont val="Arial"/>
      </rPr>
      <t>/30)x0,97dias]/12}</t>
    </r>
  </si>
  <si>
    <r>
      <rPr>
        <b/>
        <sz val="10"/>
        <color theme="1"/>
        <rFont val="Arial"/>
      </rPr>
      <t xml:space="preserve">Subsitituto na cobertura de Afastamento Maternidade   </t>
    </r>
    <r>
      <rPr>
        <b/>
        <sz val="10"/>
        <color rgb="FFFF0000"/>
        <rFont val="Arial"/>
      </rPr>
      <t>Cálculo do valor = [((Férias + Férias / 3) + SUB2.2 x (Férias + Férias / 3)) x (4/12)] x 2% + [( FGTS x Rem + SUB 2.2 x 13º + SUB2.3 – VA – VT + MÓD3) x (4/12)] } x 2%     
Não incide Contribuição Previdenciária Patronal (INSS + 3ªs entidades) sobre a Remuneração da empregada residente nos 4 meses de Afastamento, conforme Solução de Consulta Cosit/RFB nº 27/2023, publicada na pág. 20 da Seção 1 do DOU de 09/02/2023. A Remuneração e o 13º da empregada residente poderão ser compensados, por isso não constam da fórmula.</t>
    </r>
  </si>
  <si>
    <r>
      <rPr>
        <b/>
        <sz val="10"/>
        <color rgb="FF000000"/>
        <rFont val="Arial"/>
      </rPr>
      <t xml:space="preserve">Subsitituto na cobertura de Ausência por doença              </t>
    </r>
    <r>
      <rPr>
        <b/>
        <sz val="10"/>
        <color rgb="FFFF0000"/>
        <rFont val="Arial"/>
      </rPr>
      <t>Cálculo do valor = [(</t>
    </r>
    <r>
      <rPr>
        <b/>
        <sz val="10"/>
        <color rgb="FF0000FF"/>
        <rFont val="Arial"/>
      </rPr>
      <t>BCCPA</t>
    </r>
    <r>
      <rPr>
        <b/>
        <sz val="10"/>
        <color rgb="FFFF0000"/>
        <rFont val="Arial"/>
      </rPr>
      <t>)/30)x3dias]/12</t>
    </r>
  </si>
  <si>
    <r>
      <rPr>
        <b/>
        <sz val="10"/>
        <color theme="1"/>
        <rFont val="Arial"/>
      </rPr>
      <t xml:space="preserve">  a) Cofins  </t>
    </r>
    <r>
      <rPr>
        <sz val="10"/>
        <color rgb="FFFF0000"/>
        <rFont val="Arial"/>
      </rPr>
      <t>(depende do regime de tributação - utilizada a hipótese de Lucro Real)</t>
    </r>
  </si>
  <si>
    <r>
      <rPr>
        <b/>
        <sz val="10"/>
        <color theme="1"/>
        <rFont val="Arial"/>
      </rPr>
      <t xml:space="preserve">  b) PIS </t>
    </r>
    <r>
      <rPr>
        <sz val="10"/>
        <color rgb="FFFF0000"/>
        <rFont val="Arial"/>
      </rPr>
      <t>(depende do regime de tributação - utilizada a hipótese de Lucro Real)</t>
    </r>
  </si>
  <si>
    <t>a) ISS          (LEI MUNICIPAL Nº 2714 DE 31/12/1973 - LAJEADO)</t>
  </si>
  <si>
    <t>Auxiliar de manutenção predial</t>
  </si>
  <si>
    <t>Jardinagem - Regime de Tributação: Lucro Real</t>
  </si>
  <si>
    <r>
      <rPr>
        <b/>
        <sz val="18"/>
        <color theme="1"/>
        <rFont val="Arial"/>
      </rPr>
      <t xml:space="preserve">ANEXO ----  </t>
    </r>
    <r>
      <rPr>
        <b/>
        <sz val="18"/>
        <color rgb="FFFF0000"/>
        <rFont val="Arial"/>
      </rPr>
      <t xml:space="preserve">do Pregão nº XX/2024 – </t>
    </r>
    <r>
      <rPr>
        <b/>
        <sz val="18"/>
        <color rgb="FF0000FF"/>
        <rFont val="Arial"/>
      </rPr>
      <t xml:space="preserve">CONTA VINCULADA
</t>
    </r>
    <r>
      <rPr>
        <b/>
        <sz val="18"/>
        <color theme="1"/>
        <rFont val="Arial"/>
      </rPr>
      <t xml:space="preserve">PLANILHA DE CUSTOS E FORMAÇÃO DE PREÇOS </t>
    </r>
    <r>
      <rPr>
        <b/>
        <sz val="18"/>
        <color rgb="FF800080"/>
        <rFont val="Arial"/>
      </rPr>
      <t xml:space="preserve"> </t>
    </r>
    <r>
      <rPr>
        <b/>
        <sz val="18"/>
        <color theme="1"/>
        <rFont val="Arial"/>
      </rPr>
      <t xml:space="preserve"> </t>
    </r>
  </si>
  <si>
    <r>
      <rPr>
        <b/>
        <sz val="10"/>
        <color theme="1"/>
        <rFont val="Arial"/>
      </rPr>
      <t xml:space="preserve">Número de meses de execução contratual </t>
    </r>
    <r>
      <rPr>
        <b/>
        <sz val="10"/>
        <color rgb="FFFF0000"/>
        <rFont val="Arial"/>
      </rPr>
      <t>[Para efeito da análise dos Custos Não Renováveis (Analisar a exclusão dos CNR anualmente, em cada repactuação)]</t>
    </r>
  </si>
  <si>
    <r>
      <rPr>
        <b/>
        <sz val="15"/>
        <color theme="1"/>
        <rFont val="Arial"/>
      </rPr>
      <t xml:space="preserve">1. MÓDULOS 
</t>
    </r>
    <r>
      <rPr>
        <b/>
        <sz val="12"/>
        <color theme="1"/>
        <rFont val="Arial"/>
      </rPr>
      <t xml:space="preserve">Mão de obra
</t>
    </r>
    <r>
      <rPr>
        <b/>
        <sz val="11"/>
        <color theme="1"/>
        <rFont val="Arial"/>
      </rPr>
      <t>Mão de obra vinculada à execução contratual</t>
    </r>
  </si>
  <si>
    <t>Jardineiro(a)</t>
  </si>
  <si>
    <r>
      <rPr>
        <b/>
        <sz val="10"/>
        <color theme="1"/>
        <rFont val="Arial"/>
      </rPr>
      <t xml:space="preserve">Salário-Base   </t>
    </r>
    <r>
      <rPr>
        <b/>
        <sz val="10"/>
        <color rgb="FFFF0000"/>
        <rFont val="Arial"/>
      </rPr>
      <t xml:space="preserve"> (valor para somente 1 Jardineiro/a - 25h/semana) 
</t>
    </r>
    <r>
      <rPr>
        <b/>
        <sz val="10"/>
        <color theme="1"/>
        <rFont val="Arial"/>
      </rPr>
      <t xml:space="preserve">         </t>
    </r>
  </si>
  <si>
    <r>
      <rPr>
        <b/>
        <sz val="11"/>
        <color theme="1"/>
        <rFont val="Arial"/>
      </rPr>
      <t>Submódulo 2.1 – 13º (décimo terceiro) Salário</t>
    </r>
    <r>
      <rPr>
        <b/>
        <sz val="11"/>
        <color theme="1"/>
        <rFont val="Arial"/>
      </rPr>
      <t xml:space="preserve"> e Adicional de Férias</t>
    </r>
  </si>
  <si>
    <r>
      <rPr>
        <b/>
        <sz val="11"/>
        <color theme="1"/>
        <rFont val="Arial"/>
      </rPr>
      <t>13º (décimo terceiro) Salário</t>
    </r>
    <r>
      <rPr>
        <b/>
        <sz val="11"/>
        <color rgb="FFFF0000"/>
        <rFont val="Arial"/>
      </rPr>
      <t xml:space="preserve"> </t>
    </r>
    <r>
      <rPr>
        <b/>
        <sz val="11"/>
        <color theme="1"/>
        <rFont val="Arial"/>
      </rPr>
      <t>e Adicional de Férias</t>
    </r>
  </si>
  <si>
    <r>
      <rPr>
        <b/>
        <sz val="10"/>
        <color theme="1"/>
        <rFont val="Arial"/>
      </rPr>
      <t>13º (décimo terceiro) Salário</t>
    </r>
    <r>
      <rPr>
        <b/>
        <sz val="11"/>
        <color rgb="FF000000"/>
        <rFont val="Arial"/>
      </rPr>
      <t xml:space="preserve"> </t>
    </r>
    <r>
      <rPr>
        <b/>
        <sz val="8"/>
        <color rgb="FFFF0000"/>
        <rFont val="Arial"/>
      </rPr>
      <t>Obrigatória a cotação de 8,33% sobre o valor do Módulo 1 – Composição da Remuneração, conforme Anexo XII da IN 5/17</t>
    </r>
  </si>
  <si>
    <r>
      <rPr>
        <b/>
        <sz val="10"/>
        <color rgb="FF000000"/>
        <rFont val="Arial"/>
      </rPr>
      <t>Adicional de Férias</t>
    </r>
    <r>
      <rPr>
        <b/>
        <sz val="10"/>
        <color rgb="FF009900"/>
        <rFont val="Arial"/>
      </rPr>
      <t xml:space="preserve"> </t>
    </r>
    <r>
      <rPr>
        <b/>
        <sz val="8"/>
        <color rgb="FFFF0000"/>
        <rFont val="Arial"/>
      </rPr>
      <t>Obrigatória a cotação de 3,025% sobre o valor do Módulo 1 – Composição da Remuneração, conforme Anexo XII da IN 5/17 (Férias + Adicional = 9,075% + 3,025% = 12,10%)</t>
    </r>
  </si>
  <si>
    <r>
      <rPr>
        <b/>
        <sz val="10"/>
        <color theme="1"/>
        <rFont val="Arial"/>
      </rPr>
      <t xml:space="preserve">Transporte                                              </t>
    </r>
    <r>
      <rPr>
        <b/>
        <sz val="10"/>
        <color rgb="FFFF0000"/>
        <rFont val="Arial"/>
      </rPr>
      <t xml:space="preserve"> Cálculo do valor: [(2xVTx22) – (6%xSB)]</t>
    </r>
  </si>
  <si>
    <r>
      <rPr>
        <b/>
        <sz val="10"/>
        <color theme="1"/>
        <rFont val="Arial"/>
      </rPr>
      <t xml:space="preserve">Auxílio-Refeição/Alimentação </t>
    </r>
    <r>
      <rPr>
        <b/>
        <sz val="10"/>
        <color rgb="FFFF0000"/>
        <rFont val="Arial"/>
      </rPr>
      <t>Cálculo do valor = [(22xVA)x(1-</t>
    </r>
    <r>
      <rPr>
        <b/>
        <sz val="10"/>
        <color rgb="FF0000FF"/>
        <rFont val="Arial"/>
      </rPr>
      <t>0,19</t>
    </r>
    <r>
      <rPr>
        <b/>
        <sz val="10"/>
        <color rgb="FFFF0000"/>
        <rFont val="Arial"/>
      </rPr>
      <t>)]</t>
    </r>
  </si>
  <si>
    <r>
      <rPr>
        <b/>
        <sz val="10"/>
        <color theme="1"/>
        <rFont val="Arial"/>
      </rPr>
      <t xml:space="preserve">13º (décimo terceiro) Salário </t>
    </r>
    <r>
      <rPr>
        <b/>
        <sz val="10"/>
        <color theme="1"/>
        <rFont val="Arial"/>
      </rPr>
      <t>e Adicional de Férias</t>
    </r>
  </si>
  <si>
    <r>
      <rPr>
        <b/>
        <sz val="10"/>
        <color theme="1"/>
        <rFont val="Arial"/>
      </rPr>
      <t xml:space="preserve">Aviso Prévio Indenizado     </t>
    </r>
    <r>
      <rPr>
        <b/>
        <sz val="8"/>
        <color rgb="FFFF0000"/>
        <rFont val="Arial"/>
      </rPr>
      <t>Aviso-prévio indenizado     Cálculo do valor = {Rem/12 + 13º/12=(Rem/12)/12 + Férias/12=(Rem/12)/12 + (1/3xFérias)/12=1/3x[(Rem/12)/12]} x (30/30=1) x 5% de rotatividade anual - Os reflexos de 13º, F e 1/3F são referentes a 1 mês de APInd - Na prorrogação, poderão ser considerados 3 dias conforme Lei nº 12.506/2011, dependendo da análise do nº de ocorrências deste evento no período</t>
    </r>
  </si>
  <si>
    <r>
      <rPr>
        <b/>
        <sz val="10"/>
        <color theme="1"/>
        <rFont val="Arial"/>
      </rPr>
      <t xml:space="preserve">Aviso Prévio Trabalhado                 (negociar extinção/redução na 1ª prorrogação)
</t>
    </r>
    <r>
      <rPr>
        <b/>
        <sz val="10"/>
        <color rgb="FFFF0000"/>
        <rFont val="Arial"/>
      </rPr>
      <t>Cálculo do valor= [(Rem/30)x7]/12 meses do contratox100% dos empregados - ao final do contrato</t>
    </r>
  </si>
  <si>
    <r>
      <rPr>
        <b/>
        <sz val="10"/>
        <color theme="1"/>
        <rFont val="Arial"/>
      </rPr>
      <t xml:space="preserve">Multa do FGTS e contribuição social sobre o Aviso Prévio Trabalhado e Aviso Prévio Indenizado. </t>
    </r>
    <r>
      <rPr>
        <b/>
        <sz val="8"/>
        <color rgb="FFFF0000"/>
        <rFont val="Arial"/>
      </rPr>
      <t>Obrigatória a cotação de 4,00% sobre o valor do Módulo 1 – Composição da Remuneração, conforme Anexo XII da IN Seges nº 5/2017</t>
    </r>
  </si>
  <si>
    <r>
      <rPr>
        <b/>
        <sz val="10"/>
        <color theme="1"/>
        <rFont val="Arial"/>
      </rPr>
      <t xml:space="preserve">Subsitituto na cobertura de Ausências Legais                </t>
    </r>
    <r>
      <rPr>
        <b/>
        <sz val="10"/>
        <color rgb="FFFF0000"/>
        <rFont val="Arial"/>
      </rPr>
      <t>Cálculo do valor = [(</t>
    </r>
    <r>
      <rPr>
        <b/>
        <sz val="10"/>
        <color rgb="FF0000FF"/>
        <rFont val="Arial"/>
      </rPr>
      <t>BCCPA</t>
    </r>
    <r>
      <rPr>
        <b/>
        <sz val="10"/>
        <color rgb="FFFF0000"/>
        <rFont val="Arial"/>
      </rPr>
      <t>/30)x2,96dias]/12</t>
    </r>
  </si>
  <si>
    <r>
      <rPr>
        <b/>
        <sz val="10"/>
        <color theme="1"/>
        <rFont val="Arial"/>
      </rPr>
      <t xml:space="preserve">Subsitituto na cobertura de Licença-Paternidade    </t>
    </r>
    <r>
      <rPr>
        <b/>
        <sz val="10"/>
        <color rgb="FFFF0000"/>
        <rFont val="Arial"/>
      </rPr>
      <t>Cálculo do valor = {[(</t>
    </r>
    <r>
      <rPr>
        <b/>
        <sz val="10"/>
        <color rgb="FF0000FF"/>
        <rFont val="Arial"/>
      </rPr>
      <t>BCCPA</t>
    </r>
    <r>
      <rPr>
        <b/>
        <sz val="10"/>
        <color rgb="FFFF0000"/>
        <rFont val="Arial"/>
      </rPr>
      <t>/30)x5dias]/12}x1,5%</t>
    </r>
  </si>
  <si>
    <r>
      <rPr>
        <b/>
        <sz val="10"/>
        <color theme="1"/>
        <rFont val="Arial"/>
      </rPr>
      <t xml:space="preserve">Subsitituto na cobertura de Ausência por acidente de trabalho </t>
    </r>
    <r>
      <rPr>
        <b/>
        <sz val="10"/>
        <color rgb="FFFF0000"/>
        <rFont val="Arial"/>
      </rPr>
      <t>Cálculo do valor  = {[(</t>
    </r>
    <r>
      <rPr>
        <b/>
        <sz val="10"/>
        <color rgb="FF0000FF"/>
        <rFont val="Arial"/>
      </rPr>
      <t>BCCPA</t>
    </r>
    <r>
      <rPr>
        <b/>
        <sz val="10"/>
        <color rgb="FFFF0000"/>
        <rFont val="Arial"/>
      </rPr>
      <t>/30)x0,97dias]/12}</t>
    </r>
  </si>
  <si>
    <r>
      <rPr>
        <b/>
        <sz val="10"/>
        <color theme="1"/>
        <rFont val="Arial"/>
      </rPr>
      <t xml:space="preserve">Subsitituto na cobertura de Afastamento Maternidade   </t>
    </r>
    <r>
      <rPr>
        <b/>
        <sz val="10"/>
        <color rgb="FFFF0000"/>
        <rFont val="Arial"/>
      </rPr>
      <t>Cálculo do valor = [((Férias + Férias / 3) + SUB2.2 x (Férias + Férias / 3)) x (4/12)] x 2% + [( FGTS x Rem + SUB 2.2 x 13º + SUB2.3 – VA – VT + MÓD3) x (4/12)] } x 2%     
Não incide Contribuição Previdenciária Patronal (INSS + 3ªs entidades) sobre a Remuneração da empregada residente nos 4 meses de Afastamento, conforme Solução de Consulta Cosit/RFB nº 27/2023, publicada na pág. 20 da Seção 1 do DOU de 09/02/2023. A Remuneração e o 13º da empregada residente poderão ser compensados, por isso não constam da fórmula.</t>
    </r>
  </si>
  <si>
    <r>
      <rPr>
        <b/>
        <sz val="10"/>
        <color rgb="FF000000"/>
        <rFont val="Arial"/>
      </rPr>
      <t xml:space="preserve">Subsitituto na cobertura de Ausência por doença              </t>
    </r>
    <r>
      <rPr>
        <b/>
        <sz val="10"/>
        <color rgb="FFFF0000"/>
        <rFont val="Arial"/>
      </rPr>
      <t>Cálculo do valor = [(</t>
    </r>
    <r>
      <rPr>
        <b/>
        <sz val="10"/>
        <color rgb="FF0000FF"/>
        <rFont val="Arial"/>
      </rPr>
      <t>BCCPA</t>
    </r>
    <r>
      <rPr>
        <b/>
        <sz val="10"/>
        <color rgb="FFFF0000"/>
        <rFont val="Arial"/>
      </rPr>
      <t>)/30)x3dias]/12</t>
    </r>
  </si>
  <si>
    <r>
      <rPr>
        <b/>
        <sz val="10"/>
        <color theme="1"/>
        <rFont val="Arial"/>
      </rPr>
      <t xml:space="preserve">  a) Cofins  </t>
    </r>
    <r>
      <rPr>
        <sz val="10"/>
        <color rgb="FFFF0000"/>
        <rFont val="Arial"/>
      </rPr>
      <t>(depende do regime de tributação - utilizada a hipótese de Lucro Real)</t>
    </r>
  </si>
  <si>
    <r>
      <rPr>
        <b/>
        <sz val="10"/>
        <color theme="1"/>
        <rFont val="Arial"/>
      </rPr>
      <t xml:space="preserve">  b) PIS </t>
    </r>
    <r>
      <rPr>
        <sz val="10"/>
        <color rgb="FFFF0000"/>
        <rFont val="Arial"/>
      </rPr>
      <t>(depende do regime de tributação - utilizada a hipótese de Lucro Real)</t>
    </r>
  </si>
  <si>
    <t>LEI 14.133/2021 - GRAVATAÍ</t>
  </si>
  <si>
    <r>
      <rPr>
        <b/>
        <sz val="18"/>
        <color theme="1"/>
        <rFont val="Arial"/>
      </rPr>
      <t xml:space="preserve">ANEXO ----  </t>
    </r>
    <r>
      <rPr>
        <b/>
        <sz val="18"/>
        <color rgb="FFFF0000"/>
        <rFont val="Arial"/>
      </rPr>
      <t xml:space="preserve">do Pregão nº XX/2024 – </t>
    </r>
    <r>
      <rPr>
        <b/>
        <sz val="18"/>
        <color rgb="FF0000FF"/>
        <rFont val="Arial"/>
      </rPr>
      <t xml:space="preserve">CONTA VINCULADA
</t>
    </r>
    <r>
      <rPr>
        <b/>
        <sz val="18"/>
        <color theme="1"/>
        <rFont val="Arial"/>
      </rPr>
      <t xml:space="preserve">PLANILHA DE CUSTOS E FORMAÇÃO DE PREÇOS </t>
    </r>
    <r>
      <rPr>
        <b/>
        <sz val="18"/>
        <color rgb="FF800080"/>
        <rFont val="Arial"/>
      </rPr>
      <t xml:space="preserve"> </t>
    </r>
    <r>
      <rPr>
        <b/>
        <sz val="18"/>
        <color theme="1"/>
        <rFont val="Arial"/>
      </rPr>
      <t xml:space="preserve"> </t>
    </r>
  </si>
  <si>
    <t>Gravataí/RS</t>
  </si>
  <si>
    <t>CONVENÇÃO COLETIVA DE TRABALHO 2024/2025  - a ser homologada (incluída Circular no processo)</t>
  </si>
  <si>
    <r>
      <rPr>
        <b/>
        <sz val="10"/>
        <color theme="1"/>
        <rFont val="Arial"/>
      </rPr>
      <t xml:space="preserve">Número de meses de execução contratual </t>
    </r>
    <r>
      <rPr>
        <b/>
        <sz val="10"/>
        <color rgb="FFFF0000"/>
        <rFont val="Arial"/>
      </rPr>
      <t>[Para efeito da análise dos Custos Não Renováveis (Analisar a exclusão dos CNR anualmente, em cada repactuação)]</t>
    </r>
  </si>
  <si>
    <r>
      <rPr>
        <b/>
        <sz val="15"/>
        <color theme="1"/>
        <rFont val="Arial"/>
      </rPr>
      <t xml:space="preserve">1. MÓDULOS 
</t>
    </r>
    <r>
      <rPr>
        <b/>
        <sz val="12"/>
        <color theme="1"/>
        <rFont val="Arial"/>
      </rPr>
      <t xml:space="preserve">Mão de obra
</t>
    </r>
    <r>
      <rPr>
        <b/>
        <sz val="11"/>
        <color theme="1"/>
        <rFont val="Arial"/>
      </rPr>
      <t>Mão de obra vinculada à execução contratual</t>
    </r>
  </si>
  <si>
    <t>1º de junho de 2024</t>
  </si>
  <si>
    <r>
      <rPr>
        <b/>
        <sz val="10"/>
        <color theme="1"/>
        <rFont val="Arial"/>
      </rPr>
      <t xml:space="preserve">Salário-Base   </t>
    </r>
    <r>
      <rPr>
        <b/>
        <sz val="10"/>
        <color rgb="FFFF0000"/>
        <rFont val="Arial"/>
      </rPr>
      <t xml:space="preserve"> (44h/semana) 
</t>
    </r>
    <r>
      <rPr>
        <b/>
        <sz val="10"/>
        <color theme="1"/>
        <rFont val="Arial"/>
      </rPr>
      <t xml:space="preserve">         </t>
    </r>
  </si>
  <si>
    <r>
      <rPr>
        <b/>
        <sz val="11"/>
        <color theme="1"/>
        <rFont val="Arial"/>
      </rPr>
      <t>Submódulo 2.1 – 13º (décimo terceiro) Salário</t>
    </r>
    <r>
      <rPr>
        <b/>
        <sz val="11"/>
        <color theme="1"/>
        <rFont val="Arial"/>
      </rPr>
      <t xml:space="preserve"> e Adicional de Férias</t>
    </r>
  </si>
  <si>
    <r>
      <rPr>
        <b/>
        <sz val="11"/>
        <color theme="1"/>
        <rFont val="Arial"/>
      </rPr>
      <t>13º (décimo terceiro) Salário</t>
    </r>
    <r>
      <rPr>
        <b/>
        <sz val="11"/>
        <color rgb="FFFF0000"/>
        <rFont val="Arial"/>
      </rPr>
      <t xml:space="preserve"> </t>
    </r>
    <r>
      <rPr>
        <b/>
        <sz val="11"/>
        <color theme="1"/>
        <rFont val="Arial"/>
      </rPr>
      <t>e Adicional de Férias</t>
    </r>
  </si>
  <si>
    <r>
      <rPr>
        <b/>
        <sz val="10"/>
        <color theme="1"/>
        <rFont val="Arial"/>
      </rPr>
      <t>13º (décimo terceiro) Salário</t>
    </r>
    <r>
      <rPr>
        <b/>
        <sz val="11"/>
        <color rgb="FF000000"/>
        <rFont val="Arial"/>
      </rPr>
      <t xml:space="preserve"> </t>
    </r>
    <r>
      <rPr>
        <b/>
        <sz val="8"/>
        <color rgb="FFFF0000"/>
        <rFont val="Arial"/>
      </rPr>
      <t>Obrigatória a cotação de 8,33% sobre o valor do Módulo 1 – Composição da Remuneração, conforme Anexo XII da IN 5/17</t>
    </r>
  </si>
  <si>
    <r>
      <rPr>
        <b/>
        <sz val="10"/>
        <color rgb="FF000000"/>
        <rFont val="Arial"/>
      </rPr>
      <t>Adicional de Férias</t>
    </r>
    <r>
      <rPr>
        <b/>
        <sz val="10"/>
        <color rgb="FF009900"/>
        <rFont val="Arial"/>
      </rPr>
      <t xml:space="preserve"> </t>
    </r>
    <r>
      <rPr>
        <b/>
        <sz val="8"/>
        <color rgb="FFFF0000"/>
        <rFont val="Arial"/>
      </rPr>
      <t>Obrigatória a cotação de 3,025% sobre o valor do Módulo 1 – Composição da Remuneração, conforme Anexo XII da IN 5/17 (Férias + Adicional = 9,075% + 3,025% = 12,10%)</t>
    </r>
  </si>
  <si>
    <r>
      <rPr>
        <b/>
        <sz val="10"/>
        <color theme="1"/>
        <rFont val="Arial"/>
      </rPr>
      <t xml:space="preserve">Transporte                                              </t>
    </r>
    <r>
      <rPr>
        <b/>
        <sz val="10"/>
        <color rgb="FFFF0000"/>
        <rFont val="Arial"/>
      </rPr>
      <t xml:space="preserve"> Cálculo do valor: [(2xVTx22) – (3%xSB)]</t>
    </r>
  </si>
  <si>
    <r>
      <rPr>
        <b/>
        <sz val="10"/>
        <color theme="1"/>
        <rFont val="Arial"/>
      </rPr>
      <t xml:space="preserve">13º (décimo terceiro) Salário </t>
    </r>
    <r>
      <rPr>
        <b/>
        <sz val="10"/>
        <color theme="1"/>
        <rFont val="Arial"/>
      </rPr>
      <t>e Adicional de Férias</t>
    </r>
  </si>
  <si>
    <r>
      <rPr>
        <b/>
        <sz val="10"/>
        <color theme="1"/>
        <rFont val="Arial"/>
      </rPr>
      <t xml:space="preserve">Aviso Prévio Indenizado     </t>
    </r>
    <r>
      <rPr>
        <b/>
        <sz val="8"/>
        <color rgb="FFFF0000"/>
        <rFont val="Arial"/>
      </rPr>
      <t>Aviso-prévio indenizado     Cálculo do valor = {Rem/12 + 13º/12=(Rem/12)/12 + Férias/12=(Rem/12)/12 + (1/3xFérias)/12=1/3x[(Rem/12)/12]} x (30/30=1) x 5% de rotatividade anual - Os reflexos de 13º, F e 1/3F são referentes a 1 mês de APInd - Na prorrogação, poderão ser considerados 3 dias conforme Lei nº 12.506/2011, dependendo da análise do nº de ocorrências deste evento no período</t>
    </r>
  </si>
  <si>
    <r>
      <rPr>
        <b/>
        <sz val="10"/>
        <color theme="1"/>
        <rFont val="Arial"/>
      </rPr>
      <t xml:space="preserve">Aviso Prévio Trabalhado                 (negociar extinção/redução na 1ª prorrogação)
</t>
    </r>
    <r>
      <rPr>
        <b/>
        <sz val="10"/>
        <color rgb="FFFF0000"/>
        <rFont val="Arial"/>
      </rPr>
      <t>Cálculo do valor= [(Rem/30)x7]/60 meses do contratox100% dos empregados - ao final do contrato</t>
    </r>
  </si>
  <si>
    <r>
      <rPr>
        <b/>
        <sz val="10"/>
        <color theme="1"/>
        <rFont val="Arial"/>
      </rPr>
      <t xml:space="preserve">Multa do FGTS e contribuição social sobre o Aviso Prévio Trabalhado e Aviso Prévio Indenizado. </t>
    </r>
    <r>
      <rPr>
        <b/>
        <sz val="8"/>
        <color rgb="FFFF0000"/>
        <rFont val="Arial"/>
      </rPr>
      <t>Obrigatória a cotação de 4,00% sobre o valor do Módulo 1 – Composição da Remuneração, conforme Anexo XII da IN Seges nº 5/2017</t>
    </r>
  </si>
  <si>
    <r>
      <rPr>
        <b/>
        <sz val="10"/>
        <color theme="1"/>
        <rFont val="Arial"/>
      </rPr>
      <t xml:space="preserve">Subsitituto na cobertura de Ausências Legais                </t>
    </r>
    <r>
      <rPr>
        <b/>
        <sz val="10"/>
        <color rgb="FFFF0000"/>
        <rFont val="Arial"/>
      </rPr>
      <t>Cálculo do valor = [(</t>
    </r>
    <r>
      <rPr>
        <b/>
        <sz val="10"/>
        <color rgb="FF0000FF"/>
        <rFont val="Arial"/>
      </rPr>
      <t>BCCPA</t>
    </r>
    <r>
      <rPr>
        <b/>
        <sz val="10"/>
        <color rgb="FFFF0000"/>
        <rFont val="Arial"/>
      </rPr>
      <t>/30)x2,96dias]/12</t>
    </r>
  </si>
  <si>
    <r>
      <rPr>
        <b/>
        <sz val="10"/>
        <color theme="1"/>
        <rFont val="Arial"/>
      </rPr>
      <t xml:space="preserve">Subsitituto na cobertura de Licença-Paternidade    </t>
    </r>
    <r>
      <rPr>
        <b/>
        <sz val="10"/>
        <color rgb="FFFF0000"/>
        <rFont val="Arial"/>
      </rPr>
      <t>Cálculo do valor = {[(</t>
    </r>
    <r>
      <rPr>
        <b/>
        <sz val="10"/>
        <color rgb="FF0000FF"/>
        <rFont val="Arial"/>
      </rPr>
      <t>BCCPA</t>
    </r>
    <r>
      <rPr>
        <b/>
        <sz val="10"/>
        <color rgb="FFFF0000"/>
        <rFont val="Arial"/>
      </rPr>
      <t>/30)x5dias]/12}x1,5%</t>
    </r>
  </si>
  <si>
    <r>
      <rPr>
        <b/>
        <sz val="10"/>
        <color theme="1"/>
        <rFont val="Arial"/>
      </rPr>
      <t xml:space="preserve">Subsitituto na cobertura de Ausência por acidente de trabalho </t>
    </r>
    <r>
      <rPr>
        <b/>
        <sz val="10"/>
        <color rgb="FFFF0000"/>
        <rFont val="Arial"/>
      </rPr>
      <t>Cálculo do valor  = {[(</t>
    </r>
    <r>
      <rPr>
        <b/>
        <sz val="10"/>
        <color rgb="FF0000FF"/>
        <rFont val="Arial"/>
      </rPr>
      <t>BCCPA</t>
    </r>
    <r>
      <rPr>
        <b/>
        <sz val="10"/>
        <color rgb="FFFF0000"/>
        <rFont val="Arial"/>
      </rPr>
      <t>/30)x0,97dias]/12}</t>
    </r>
  </si>
  <si>
    <r>
      <rPr>
        <b/>
        <sz val="10"/>
        <color theme="1"/>
        <rFont val="Arial"/>
      </rPr>
      <t xml:space="preserve">Subsitituto na cobertura de Afastamento Maternidade   </t>
    </r>
    <r>
      <rPr>
        <b/>
        <sz val="10"/>
        <color rgb="FFFF0000"/>
        <rFont val="Arial"/>
      </rPr>
      <t>Cálculo do valor = [((Férias + Férias / 3) + SUB2.2 x (Férias + Férias / 3)) x (4/12)] x 2% + [( FGTS x Rem + SUB 2.2 x 13º + SUB2.3 – VA – VT + MÓD3) x (4/12)] } x 2%     
Não incide Contribuição Previdenciária Patronal (INSS + 3ªs entidades) sobre a Remuneração da empregada residente nos 4 meses de Afastamento, conforme Solução de Consulta Cosit/RFB nº 27/2023, publicada na pág. 20 da Seção 1 do DOU de 09/02/2023. A Remuneração e o 13º da empregada residente poderão ser compensados, por isso não constam da fórmula.</t>
    </r>
  </si>
  <si>
    <r>
      <rPr>
        <b/>
        <sz val="10"/>
        <color rgb="FF000000"/>
        <rFont val="Arial"/>
      </rPr>
      <t xml:space="preserve">Substituto na cobertura de Ausência por doença              </t>
    </r>
    <r>
      <rPr>
        <b/>
        <sz val="10"/>
        <color rgb="FFFF0000"/>
        <rFont val="Arial"/>
      </rPr>
      <t>Cálculo do valor = [(</t>
    </r>
    <r>
      <rPr>
        <b/>
        <sz val="10"/>
        <color rgb="FF0000FF"/>
        <rFont val="Arial"/>
      </rPr>
      <t>BCCPA</t>
    </r>
    <r>
      <rPr>
        <b/>
        <sz val="10"/>
        <color rgb="FFFF0000"/>
        <rFont val="Arial"/>
      </rPr>
      <t>)/30)x3dias]/12</t>
    </r>
  </si>
  <si>
    <r>
      <rPr>
        <b/>
        <sz val="10"/>
        <color theme="1"/>
        <rFont val="Arial"/>
      </rPr>
      <t xml:space="preserve">  a) Cofins  </t>
    </r>
    <r>
      <rPr>
        <sz val="10"/>
        <color rgb="FFFF0000"/>
        <rFont val="Arial"/>
      </rPr>
      <t>(depende do regime de tributação - utilizada a hipótese de Lucro Real)</t>
    </r>
  </si>
  <si>
    <r>
      <rPr>
        <b/>
        <sz val="10"/>
        <color theme="1"/>
        <rFont val="Arial"/>
      </rPr>
      <t xml:space="preserve">  b) PIS </t>
    </r>
    <r>
      <rPr>
        <sz val="10"/>
        <color rgb="FFFF0000"/>
        <rFont val="Arial"/>
      </rPr>
      <t>(depende do regime de tributação - utilizada a hipótese de Lucro Real)</t>
    </r>
  </si>
  <si>
    <t xml:space="preserve">  a) ISS             (Lei Ordinária 5.147/2005 - Prefeitura de Pelotas/RS</t>
  </si>
  <si>
    <r>
      <rPr>
        <b/>
        <sz val="18"/>
        <color theme="1"/>
        <rFont val="Arial"/>
      </rPr>
      <t xml:space="preserve">ANEXO ----  </t>
    </r>
    <r>
      <rPr>
        <b/>
        <sz val="18"/>
        <color rgb="FFFF0000"/>
        <rFont val="Arial"/>
      </rPr>
      <t xml:space="preserve">do Pregão nº XX/2024 – </t>
    </r>
    <r>
      <rPr>
        <b/>
        <sz val="18"/>
        <color rgb="FF0000FF"/>
        <rFont val="Arial"/>
      </rPr>
      <t xml:space="preserve">CONTA VINCULADA
</t>
    </r>
    <r>
      <rPr>
        <b/>
        <sz val="18"/>
        <color theme="1"/>
        <rFont val="Arial"/>
      </rPr>
      <t xml:space="preserve">PLANILHA DE CUSTOS E FORMAÇÃO DE PREÇOS </t>
    </r>
    <r>
      <rPr>
        <b/>
        <sz val="18"/>
        <color rgb="FF800080"/>
        <rFont val="Arial"/>
      </rPr>
      <t xml:space="preserve"> </t>
    </r>
    <r>
      <rPr>
        <b/>
        <sz val="18"/>
        <color theme="1"/>
        <rFont val="Arial"/>
      </rPr>
      <t xml:space="preserve"> </t>
    </r>
  </si>
  <si>
    <t>CONVENÇÃO COLETIVA DE TRABALHO 2024 - MTE:  RS004917/2023</t>
  </si>
  <si>
    <r>
      <rPr>
        <b/>
        <sz val="10"/>
        <color theme="1"/>
        <rFont val="Arial"/>
      </rPr>
      <t xml:space="preserve">Número de meses de execução contratual </t>
    </r>
    <r>
      <rPr>
        <b/>
        <sz val="10"/>
        <color rgb="FFFF0000"/>
        <rFont val="Arial"/>
      </rPr>
      <t>[Para efeito da análise dos Custos Não Renováveis (Analisar a exclusão dos CNR anualmente, em cada repactuação)]</t>
    </r>
  </si>
  <si>
    <r>
      <rPr>
        <b/>
        <sz val="15"/>
        <color theme="1"/>
        <rFont val="Arial"/>
      </rPr>
      <t xml:space="preserve">1. MÓDULOS 
</t>
    </r>
    <r>
      <rPr>
        <b/>
        <sz val="12"/>
        <color theme="1"/>
        <rFont val="Arial"/>
      </rPr>
      <t xml:space="preserve">Mão de obra
</t>
    </r>
    <r>
      <rPr>
        <b/>
        <sz val="11"/>
        <color theme="1"/>
        <rFont val="Arial"/>
      </rPr>
      <t>Mão de obra vinculada à execução contratual</t>
    </r>
  </si>
  <si>
    <r>
      <rPr>
        <b/>
        <sz val="10"/>
        <color theme="1"/>
        <rFont val="Arial"/>
      </rPr>
      <t xml:space="preserve">Salário-Base   </t>
    </r>
    <r>
      <rPr>
        <b/>
        <sz val="10"/>
        <color rgb="FFFF0000"/>
        <rFont val="Arial"/>
      </rPr>
      <t xml:space="preserve"> (25h/semana) 
</t>
    </r>
    <r>
      <rPr>
        <b/>
        <sz val="10"/>
        <color theme="1"/>
        <rFont val="Arial"/>
      </rPr>
      <t xml:space="preserve">         </t>
    </r>
  </si>
  <si>
    <r>
      <rPr>
        <b/>
        <sz val="11"/>
        <color theme="1"/>
        <rFont val="Arial"/>
      </rPr>
      <t>Submódulo 2.1 – 13º (décimo terceiro) Salário</t>
    </r>
    <r>
      <rPr>
        <b/>
        <sz val="11"/>
        <color theme="1"/>
        <rFont val="Arial"/>
      </rPr>
      <t xml:space="preserve"> e Adicional de Férias</t>
    </r>
  </si>
  <si>
    <r>
      <rPr>
        <b/>
        <sz val="11"/>
        <color theme="1"/>
        <rFont val="Arial"/>
      </rPr>
      <t>13º (décimo terceiro) Salário</t>
    </r>
    <r>
      <rPr>
        <b/>
        <sz val="11"/>
        <color rgb="FFFF0000"/>
        <rFont val="Arial"/>
      </rPr>
      <t xml:space="preserve"> </t>
    </r>
    <r>
      <rPr>
        <b/>
        <sz val="11"/>
        <color theme="1"/>
        <rFont val="Arial"/>
      </rPr>
      <t>e Adicional de Férias</t>
    </r>
  </si>
  <si>
    <r>
      <rPr>
        <b/>
        <sz val="10"/>
        <color theme="1"/>
        <rFont val="Arial"/>
      </rPr>
      <t>13º (décimo terceiro) Salário</t>
    </r>
    <r>
      <rPr>
        <b/>
        <sz val="11"/>
        <color rgb="FF000000"/>
        <rFont val="Arial"/>
      </rPr>
      <t xml:space="preserve"> </t>
    </r>
    <r>
      <rPr>
        <b/>
        <sz val="8"/>
        <color rgb="FFFF0000"/>
        <rFont val="Arial"/>
      </rPr>
      <t>Obrigatória a cotação de 8,33% sobre o valor do Módulo 1 – Composição da Remuneração, conforme Anexo XII da IN 5/17</t>
    </r>
  </si>
  <si>
    <r>
      <rPr>
        <b/>
        <sz val="10"/>
        <color rgb="FF000000"/>
        <rFont val="Arial"/>
      </rPr>
      <t>Adicional de Férias</t>
    </r>
    <r>
      <rPr>
        <b/>
        <sz val="10"/>
        <color rgb="FF009900"/>
        <rFont val="Arial"/>
      </rPr>
      <t xml:space="preserve"> </t>
    </r>
    <r>
      <rPr>
        <b/>
        <sz val="8"/>
        <color rgb="FFFF0000"/>
        <rFont val="Arial"/>
      </rPr>
      <t>Obrigatória a cotação de 3,025% sobre o valor do Módulo 1 – Composição da Remuneração, conforme Anexo XII da IN 5/17 (Férias + Adicional = 9,075% + 3,025% = 12,10%)</t>
    </r>
  </si>
  <si>
    <r>
      <rPr>
        <b/>
        <sz val="10"/>
        <color theme="1"/>
        <rFont val="Arial"/>
      </rPr>
      <t xml:space="preserve">Transporte                                              </t>
    </r>
    <r>
      <rPr>
        <b/>
        <sz val="10"/>
        <color rgb="FFFF0000"/>
        <rFont val="Arial"/>
      </rPr>
      <t xml:space="preserve"> Cálculo do valor: [(2xVTx22) – (6%xSB)]</t>
    </r>
  </si>
  <si>
    <t xml:space="preserve">      A.4) Participação do empregado em percentual do salário-base </t>
  </si>
  <si>
    <r>
      <rPr>
        <b/>
        <sz val="10"/>
        <color theme="1"/>
        <rFont val="Arial"/>
      </rPr>
      <t xml:space="preserve">Auxílio-Refeição/Alimentação </t>
    </r>
    <r>
      <rPr>
        <b/>
        <sz val="10"/>
        <color rgb="FFFF0000"/>
        <rFont val="Arial"/>
      </rPr>
      <t>Cálculo do valor = [(22xVA)x(1-</t>
    </r>
    <r>
      <rPr>
        <b/>
        <sz val="10"/>
        <color rgb="FF0000FF"/>
        <rFont val="Arial"/>
      </rPr>
      <t>0,19</t>
    </r>
    <r>
      <rPr>
        <b/>
        <sz val="10"/>
        <color rgb="FFFF0000"/>
        <rFont val="Arial"/>
      </rPr>
      <t>)]</t>
    </r>
  </si>
  <si>
    <t xml:space="preserve">      B.1) Valor do auxílio-alimentação </t>
  </si>
  <si>
    <t xml:space="preserve">Plano de Benefício Social Familiar </t>
  </si>
  <si>
    <r>
      <rPr>
        <b/>
        <sz val="10"/>
        <color theme="1"/>
        <rFont val="Arial"/>
      </rPr>
      <t xml:space="preserve">13º (décimo terceiro) Salário </t>
    </r>
    <r>
      <rPr>
        <b/>
        <sz val="10"/>
        <color theme="1"/>
        <rFont val="Arial"/>
      </rPr>
      <t>e Adicional de Férias</t>
    </r>
  </si>
  <si>
    <r>
      <rPr>
        <b/>
        <sz val="10"/>
        <color theme="1"/>
        <rFont val="Arial"/>
      </rPr>
      <t xml:space="preserve">Aviso Prévio Indenizado     </t>
    </r>
    <r>
      <rPr>
        <b/>
        <sz val="8"/>
        <color rgb="FFFF0000"/>
        <rFont val="Arial"/>
      </rPr>
      <t>Aviso-prévio indenizado     Cálculo do valor = {Rem/12 + 13º/12=(Rem/12)/12 + Férias/12=(Rem/12)/12 + (1/3xFérias)/12=1/3x[(Rem/12)/12]} x (30/30=1) x 5% de rotatividade anual - Os reflexos de 13º, F e 1/3F são referentes a 1 mês de APInd - Na prorrogação, poderão ser considerados 3 dias conforme Lei nº 12.506/2011, dependendo da análise do nº de ocorrências deste evento no período</t>
    </r>
  </si>
  <si>
    <r>
      <rPr>
        <b/>
        <sz val="10"/>
        <color theme="1"/>
        <rFont val="Arial"/>
      </rPr>
      <t xml:space="preserve">Aviso Prévio Trabalhado                 (negociar extinção/redução na 1ª prorrogação)
</t>
    </r>
    <r>
      <rPr>
        <b/>
        <sz val="10"/>
        <color rgb="FFFF0000"/>
        <rFont val="Arial"/>
      </rPr>
      <t>Cálculo do valor= [(Rem/30)x7]/12 meses do contratox100% dos empregados - ao final do contrato</t>
    </r>
  </si>
  <si>
    <r>
      <rPr>
        <b/>
        <sz val="10"/>
        <color theme="1"/>
        <rFont val="Arial"/>
      </rPr>
      <t xml:space="preserve">Multa do FGTS e contribuição social sobre o Aviso Prévio Trabalhado e Aviso Prévio Indenizado. </t>
    </r>
    <r>
      <rPr>
        <b/>
        <sz val="8"/>
        <color rgb="FFFF0000"/>
        <rFont val="Arial"/>
      </rPr>
      <t>Obrigatória a cotação de 4,00% sobre o valor do Módulo 1 – Composição da Remuneração, conforme Anexo XII da IN Seges nº 5/2017</t>
    </r>
  </si>
  <si>
    <r>
      <rPr>
        <b/>
        <sz val="10"/>
        <color theme="1"/>
        <rFont val="Arial"/>
      </rPr>
      <t xml:space="preserve">Subsitituto na cobertura de Ausências Legais                </t>
    </r>
    <r>
      <rPr>
        <b/>
        <sz val="10"/>
        <color rgb="FFFF0000"/>
        <rFont val="Arial"/>
      </rPr>
      <t>Cálculo do valor = [(</t>
    </r>
    <r>
      <rPr>
        <b/>
        <sz val="10"/>
        <color rgb="FF0000FF"/>
        <rFont val="Arial"/>
      </rPr>
      <t>BCCPA</t>
    </r>
    <r>
      <rPr>
        <b/>
        <sz val="10"/>
        <color rgb="FFFF0000"/>
        <rFont val="Arial"/>
      </rPr>
      <t>/30)x2,96dias]/12</t>
    </r>
  </si>
  <si>
    <r>
      <rPr>
        <b/>
        <sz val="10"/>
        <color theme="1"/>
        <rFont val="Arial"/>
      </rPr>
      <t xml:space="preserve">Subsitituto na cobertura de Licença-Paternidade    </t>
    </r>
    <r>
      <rPr>
        <b/>
        <sz val="10"/>
        <color rgb="FFFF0000"/>
        <rFont val="Arial"/>
      </rPr>
      <t>Cálculo do valor = {[(</t>
    </r>
    <r>
      <rPr>
        <b/>
        <sz val="10"/>
        <color rgb="FF0000FF"/>
        <rFont val="Arial"/>
      </rPr>
      <t>BCCPA</t>
    </r>
    <r>
      <rPr>
        <b/>
        <sz val="10"/>
        <color rgb="FFFF0000"/>
        <rFont val="Arial"/>
      </rPr>
      <t>/30)x5dias]/12}x1,5%</t>
    </r>
  </si>
  <si>
    <r>
      <rPr>
        <b/>
        <sz val="10"/>
        <color theme="1"/>
        <rFont val="Arial"/>
      </rPr>
      <t xml:space="preserve">Subsitituto na cobertura de Ausência por acidente de trabalho </t>
    </r>
    <r>
      <rPr>
        <b/>
        <sz val="10"/>
        <color rgb="FFFF0000"/>
        <rFont val="Arial"/>
      </rPr>
      <t>Cálculo do valor  = {[(</t>
    </r>
    <r>
      <rPr>
        <b/>
        <sz val="10"/>
        <color rgb="FF0000FF"/>
        <rFont val="Arial"/>
      </rPr>
      <t>BCCPA</t>
    </r>
    <r>
      <rPr>
        <b/>
        <sz val="10"/>
        <color rgb="FFFF0000"/>
        <rFont val="Arial"/>
      </rPr>
      <t>/30)x0,97dias]/12}</t>
    </r>
  </si>
  <si>
    <r>
      <rPr>
        <b/>
        <sz val="10"/>
        <color theme="1"/>
        <rFont val="Arial"/>
      </rPr>
      <t xml:space="preserve">Subsitituto na cobertura de Afastamento Maternidade   </t>
    </r>
    <r>
      <rPr>
        <b/>
        <sz val="10"/>
        <color rgb="FFFF0000"/>
        <rFont val="Arial"/>
      </rPr>
      <t>Cálculo do valor = [((Férias + Férias / 3) + SUB2.2 x (Férias + Férias / 3)) x (4/12)] x 2% + [( FGTS x Rem + SUB 2.2 x 13º + SUB2.3 – VA – VT + MÓD3) x (4/12)] } x 2%     
Não incide Contribuição Previdenciária Patronal (INSS + 3ªs entidades) sobre a Remuneração da empregada residente nos 4 meses de Afastamento, conforme Solução de Consulta Cosit/RFB nº 27/2023, publicada na pág. 20 da Seção 1 do DOU de 09/02/2023. A Remuneração e o 13º da empregada residente poderão ser compensados, por isso não constam da fórmula.</t>
    </r>
  </si>
  <si>
    <r>
      <rPr>
        <b/>
        <sz val="10"/>
        <color rgb="FF000000"/>
        <rFont val="Arial"/>
      </rPr>
      <t xml:space="preserve">Subsitituto na cobertura de Ausência por doença              </t>
    </r>
    <r>
      <rPr>
        <b/>
        <sz val="10"/>
        <color rgb="FFFF0000"/>
        <rFont val="Arial"/>
      </rPr>
      <t>Cálculo do valor = [(</t>
    </r>
    <r>
      <rPr>
        <b/>
        <sz val="10"/>
        <color rgb="FF0000FF"/>
        <rFont val="Arial"/>
      </rPr>
      <t>BCCPA</t>
    </r>
    <r>
      <rPr>
        <b/>
        <sz val="10"/>
        <color rgb="FFFF0000"/>
        <rFont val="Arial"/>
      </rPr>
      <t>)/30)x3dias]/12</t>
    </r>
  </si>
  <si>
    <r>
      <rPr>
        <b/>
        <sz val="10"/>
        <color theme="1"/>
        <rFont val="Arial"/>
      </rPr>
      <t xml:space="preserve">  a) Cofins  </t>
    </r>
    <r>
      <rPr>
        <sz val="10"/>
        <color rgb="FFFF0000"/>
        <rFont val="Arial"/>
      </rPr>
      <t>(depende do regime de tributação - utilizada a hipótese de Lucro Real)</t>
    </r>
  </si>
  <si>
    <r>
      <rPr>
        <b/>
        <sz val="10"/>
        <color theme="1"/>
        <rFont val="Arial"/>
      </rPr>
      <t xml:space="preserve">  b) PIS </t>
    </r>
    <r>
      <rPr>
        <sz val="10"/>
        <color rgb="FFFF0000"/>
        <rFont val="Arial"/>
      </rPr>
      <t>(depende do regime de tributação - utilizada a hipótese de Lucro Real)</t>
    </r>
  </si>
  <si>
    <r>
      <rPr>
        <b/>
        <sz val="18"/>
        <color theme="1"/>
        <rFont val="Arial"/>
      </rPr>
      <t xml:space="preserve">ANEXO ----  </t>
    </r>
    <r>
      <rPr>
        <b/>
        <sz val="18"/>
        <color rgb="FFFF0000"/>
        <rFont val="Arial"/>
      </rPr>
      <t xml:space="preserve">do Pregão nº XX/2024 – </t>
    </r>
    <r>
      <rPr>
        <b/>
        <sz val="18"/>
        <color rgb="FF0000FF"/>
        <rFont val="Arial"/>
      </rPr>
      <t xml:space="preserve">CONTA VINCULADA
</t>
    </r>
    <r>
      <rPr>
        <b/>
        <sz val="18"/>
        <color theme="1"/>
        <rFont val="Arial"/>
      </rPr>
      <t xml:space="preserve">PLANILHA DE CUSTOS E FORMAÇÃO DE PREÇOS </t>
    </r>
    <r>
      <rPr>
        <b/>
        <sz val="18"/>
        <color rgb="FF800080"/>
        <rFont val="Arial"/>
      </rPr>
      <t xml:space="preserve"> </t>
    </r>
    <r>
      <rPr>
        <b/>
        <sz val="18"/>
        <color theme="1"/>
        <rFont val="Arial"/>
      </rPr>
      <t xml:space="preserve"> </t>
    </r>
  </si>
  <si>
    <r>
      <rPr>
        <b/>
        <sz val="10"/>
        <color theme="1"/>
        <rFont val="Arial"/>
      </rPr>
      <t xml:space="preserve">Número de meses de execução contratual </t>
    </r>
    <r>
      <rPr>
        <b/>
        <sz val="10"/>
        <color rgb="FFFF0000"/>
        <rFont val="Arial"/>
      </rPr>
      <t>[Para efeito da análise dos Custos Não Renováveis (Analisar a exclusão dos CNR anualmente, em cada repactuação)]</t>
    </r>
  </si>
  <si>
    <r>
      <rPr>
        <b/>
        <sz val="15"/>
        <color theme="1"/>
        <rFont val="Arial"/>
      </rPr>
      <t xml:space="preserve">1. MÓDULOS 
</t>
    </r>
    <r>
      <rPr>
        <b/>
        <sz val="12"/>
        <color theme="1"/>
        <rFont val="Arial"/>
      </rPr>
      <t xml:space="preserve">Mão de obra
</t>
    </r>
    <r>
      <rPr>
        <b/>
        <sz val="11"/>
        <color theme="1"/>
        <rFont val="Arial"/>
      </rPr>
      <t>Mão de obra vinculada à execução contratual</t>
    </r>
  </si>
  <si>
    <r>
      <rPr>
        <b/>
        <sz val="10"/>
        <color theme="1"/>
        <rFont val="Arial"/>
      </rPr>
      <t xml:space="preserve">Salário-Base   </t>
    </r>
    <r>
      <rPr>
        <b/>
        <sz val="10"/>
        <color rgb="FFFF0000"/>
        <rFont val="Arial"/>
      </rPr>
      <t xml:space="preserve"> (valor para somente 1 Jardineiro/a - 44h/semana) 
</t>
    </r>
    <r>
      <rPr>
        <b/>
        <sz val="10"/>
        <color theme="1"/>
        <rFont val="Arial"/>
      </rPr>
      <t xml:space="preserve">         </t>
    </r>
  </si>
  <si>
    <r>
      <rPr>
        <b/>
        <sz val="11"/>
        <color theme="1"/>
        <rFont val="Arial"/>
      </rPr>
      <t>Submódulo 2.1 – 13º (décimo terceiro) Salário</t>
    </r>
    <r>
      <rPr>
        <b/>
        <sz val="11"/>
        <color theme="1"/>
        <rFont val="Arial"/>
      </rPr>
      <t xml:space="preserve"> e Adicional de Férias</t>
    </r>
  </si>
  <si>
    <r>
      <rPr>
        <b/>
        <sz val="11"/>
        <color theme="1"/>
        <rFont val="Arial"/>
      </rPr>
      <t>13º (décimo terceiro) Salário</t>
    </r>
    <r>
      <rPr>
        <b/>
        <sz val="11"/>
        <color rgb="FFFF0000"/>
        <rFont val="Arial"/>
      </rPr>
      <t xml:space="preserve"> </t>
    </r>
    <r>
      <rPr>
        <b/>
        <sz val="11"/>
        <color theme="1"/>
        <rFont val="Arial"/>
      </rPr>
      <t>e Adicional de Férias</t>
    </r>
  </si>
  <si>
    <r>
      <rPr>
        <b/>
        <sz val="10"/>
        <color theme="1"/>
        <rFont val="Arial"/>
      </rPr>
      <t>13º (décimo terceiro) Salário</t>
    </r>
    <r>
      <rPr>
        <b/>
        <sz val="11"/>
        <color rgb="FF000000"/>
        <rFont val="Arial"/>
      </rPr>
      <t xml:space="preserve"> </t>
    </r>
    <r>
      <rPr>
        <b/>
        <sz val="8"/>
        <color rgb="FFFF0000"/>
        <rFont val="Arial"/>
      </rPr>
      <t>Obrigatória a cotação de 8,33% sobre o valor do Módulo 1 – Composição da Remuneração, conforme Anexo XII da IN 5/17</t>
    </r>
  </si>
  <si>
    <r>
      <rPr>
        <b/>
        <sz val="10"/>
        <color rgb="FF000000"/>
        <rFont val="Arial"/>
      </rPr>
      <t>Adicional de Férias</t>
    </r>
    <r>
      <rPr>
        <b/>
        <sz val="10"/>
        <color rgb="FF009900"/>
        <rFont val="Arial"/>
      </rPr>
      <t xml:space="preserve"> </t>
    </r>
    <r>
      <rPr>
        <b/>
        <sz val="8"/>
        <color rgb="FFFF0000"/>
        <rFont val="Arial"/>
      </rPr>
      <t>Obrigatória a cotação de 3,025% sobre o valor do Módulo 1 – Composição da Remuneração, conforme Anexo XII da IN 5/17 (Férias + Adicional = 9,075% + 3,025% = 12,10%)</t>
    </r>
  </si>
  <si>
    <r>
      <rPr>
        <b/>
        <sz val="10"/>
        <color theme="1"/>
        <rFont val="Arial"/>
      </rPr>
      <t xml:space="preserve">Transporte                                              </t>
    </r>
    <r>
      <rPr>
        <b/>
        <sz val="10"/>
        <color rgb="FFFF0000"/>
        <rFont val="Arial"/>
      </rPr>
      <t xml:space="preserve"> Cálculo do valor: [(2xVTx22) – (6%xSB)]</t>
    </r>
  </si>
  <si>
    <r>
      <rPr>
        <b/>
        <sz val="10"/>
        <color theme="1"/>
        <rFont val="Arial"/>
      </rPr>
      <t xml:space="preserve">Auxílio-Refeição/Alimentação </t>
    </r>
    <r>
      <rPr>
        <b/>
        <sz val="10"/>
        <color rgb="FFFF0000"/>
        <rFont val="Arial"/>
      </rPr>
      <t>Cálculo do valor = [(22xVA)x(1-</t>
    </r>
    <r>
      <rPr>
        <b/>
        <sz val="10"/>
        <color rgb="FF0000FF"/>
        <rFont val="Arial"/>
      </rPr>
      <t>0,19</t>
    </r>
    <r>
      <rPr>
        <b/>
        <sz val="10"/>
        <color rgb="FFFF0000"/>
        <rFont val="Arial"/>
      </rPr>
      <t>)]</t>
    </r>
  </si>
  <si>
    <t xml:space="preserve">      B.1) Valor do auxílio-alimentação</t>
  </si>
  <si>
    <r>
      <rPr>
        <b/>
        <sz val="10"/>
        <color theme="1"/>
        <rFont val="Arial"/>
      </rPr>
      <t xml:space="preserve">13º (décimo terceiro) Salário </t>
    </r>
    <r>
      <rPr>
        <b/>
        <sz val="10"/>
        <color theme="1"/>
        <rFont val="Arial"/>
      </rPr>
      <t>e Adicional de Férias</t>
    </r>
  </si>
  <si>
    <r>
      <rPr>
        <b/>
        <sz val="10"/>
        <color theme="1"/>
        <rFont val="Arial"/>
      </rPr>
      <t xml:space="preserve">Aviso Prévio Indenizado     </t>
    </r>
    <r>
      <rPr>
        <b/>
        <sz val="8"/>
        <color rgb="FFFF0000"/>
        <rFont val="Arial"/>
      </rPr>
      <t>Aviso-prévio indenizado     Cálculo do valor = {Rem/12 + 13º/12=(Rem/12)/12 + Férias/12=(Rem/12)/12 + (1/3xFérias)/12=1/3x[(Rem/12)/12]} x (30/30=1) x 5% de rotatividade anual - Os reflexos de 13º, F e 1/3F são referentes a 1 mês de APInd - Na prorrogação, poderão ser considerados 3 dias conforme Lei nº 12.506/2011, dependendo da análise do nº de ocorrências deste evento no período</t>
    </r>
  </si>
  <si>
    <r>
      <rPr>
        <b/>
        <sz val="10"/>
        <color theme="1"/>
        <rFont val="Arial"/>
      </rPr>
      <t xml:space="preserve">Aviso Prévio Trabalhado                 (negociar extinção/redução na 1ª prorrogação)
</t>
    </r>
    <r>
      <rPr>
        <b/>
        <sz val="10"/>
        <color rgb="FFFF0000"/>
        <rFont val="Arial"/>
      </rPr>
      <t>Cálculo do valor= [(Rem/30)x7]/12 meses do contratox100% dos empregados - ao final do contrato</t>
    </r>
  </si>
  <si>
    <r>
      <rPr>
        <b/>
        <sz val="10"/>
        <color theme="1"/>
        <rFont val="Arial"/>
      </rPr>
      <t xml:space="preserve">Multa do FGTS e contribuição social sobre o Aviso Prévio Trabalhado e Aviso Prévio Indenizado. </t>
    </r>
    <r>
      <rPr>
        <b/>
        <sz val="8"/>
        <color rgb="FFFF0000"/>
        <rFont val="Arial"/>
      </rPr>
      <t>Obrigatória a cotação de 4,00% sobre o valor do Módulo 1 – Composição da Remuneração, conforme Anexo XII da IN Seges nº 5/2017</t>
    </r>
  </si>
  <si>
    <r>
      <rPr>
        <b/>
        <sz val="10"/>
        <color theme="1"/>
        <rFont val="Arial"/>
      </rPr>
      <t xml:space="preserve">Subsitituto na cobertura de Ausências Legais                </t>
    </r>
    <r>
      <rPr>
        <b/>
        <sz val="10"/>
        <color rgb="FFFF0000"/>
        <rFont val="Arial"/>
      </rPr>
      <t>Cálculo do valor = [(</t>
    </r>
    <r>
      <rPr>
        <b/>
        <sz val="10"/>
        <color rgb="FF0000FF"/>
        <rFont val="Arial"/>
      </rPr>
      <t>BCCPA</t>
    </r>
    <r>
      <rPr>
        <b/>
        <sz val="10"/>
        <color rgb="FFFF0000"/>
        <rFont val="Arial"/>
      </rPr>
      <t>/30)x2,96dias]/12</t>
    </r>
  </si>
  <si>
    <r>
      <rPr>
        <b/>
        <sz val="10"/>
        <color theme="1"/>
        <rFont val="Arial"/>
      </rPr>
      <t xml:space="preserve">Subsitituto na cobertura de Licença-Paternidade    </t>
    </r>
    <r>
      <rPr>
        <b/>
        <sz val="10"/>
        <color rgb="FFFF0000"/>
        <rFont val="Arial"/>
      </rPr>
      <t>Cálculo do valor = {[(</t>
    </r>
    <r>
      <rPr>
        <b/>
        <sz val="10"/>
        <color rgb="FF0000FF"/>
        <rFont val="Arial"/>
      </rPr>
      <t>BCCPA</t>
    </r>
    <r>
      <rPr>
        <b/>
        <sz val="10"/>
        <color rgb="FFFF0000"/>
        <rFont val="Arial"/>
      </rPr>
      <t>/30)x5dias]/12}x1,5%</t>
    </r>
  </si>
  <si>
    <r>
      <rPr>
        <b/>
        <sz val="10"/>
        <color theme="1"/>
        <rFont val="Arial"/>
      </rPr>
      <t xml:space="preserve">Subsitituto na cobertura de Ausência por acidente de trabalho </t>
    </r>
    <r>
      <rPr>
        <b/>
        <sz val="10"/>
        <color rgb="FFFF0000"/>
        <rFont val="Arial"/>
      </rPr>
      <t>Cálculo do valor  = {[(</t>
    </r>
    <r>
      <rPr>
        <b/>
        <sz val="10"/>
        <color rgb="FF0000FF"/>
        <rFont val="Arial"/>
      </rPr>
      <t>BCCPA</t>
    </r>
    <r>
      <rPr>
        <b/>
        <sz val="10"/>
        <color rgb="FFFF0000"/>
        <rFont val="Arial"/>
      </rPr>
      <t>/30)x0,97dias]/12}</t>
    </r>
  </si>
  <si>
    <r>
      <rPr>
        <b/>
        <sz val="10"/>
        <color theme="1"/>
        <rFont val="Arial"/>
      </rPr>
      <t xml:space="preserve">Subsitituto na cobertura de Afastamento Maternidade   </t>
    </r>
    <r>
      <rPr>
        <b/>
        <sz val="10"/>
        <color rgb="FFFF0000"/>
        <rFont val="Arial"/>
      </rPr>
      <t>Cálculo do valor = [((Férias + Férias / 3) + SUB2.2 x (Férias + Férias / 3)) x (4/12)] x 2% + [( FGTS x Rem + SUB 2.2 x 13º + SUB2.3 – VA – VT + MÓD3) x (4/12)] } x 2%     
Não incide Contribuição Previdenciária Patronal (INSS + 3ªs entidades) sobre a Remuneração da empregada residente nos 4 meses de Afastamento, conforme Solução de Consulta Cosit/RFB nº 27/2023, publicada na pág. 20 da Seção 1 do DOU de 09/02/2023. A Remuneração e o 13º da empregada residente poderão ser compensados, por isso não constam da fórmula.</t>
    </r>
  </si>
  <si>
    <r>
      <rPr>
        <b/>
        <sz val="10"/>
        <color rgb="FF000000"/>
        <rFont val="Arial"/>
      </rPr>
      <t xml:space="preserve">Subsitituto na cobertura de Ausência por doença              </t>
    </r>
    <r>
      <rPr>
        <b/>
        <sz val="10"/>
        <color rgb="FFFF0000"/>
        <rFont val="Arial"/>
      </rPr>
      <t>Cálculo do valor = [(</t>
    </r>
    <r>
      <rPr>
        <b/>
        <sz val="10"/>
        <color rgb="FF0000FF"/>
        <rFont val="Arial"/>
      </rPr>
      <t>BCCPA</t>
    </r>
    <r>
      <rPr>
        <b/>
        <sz val="10"/>
        <color rgb="FFFF0000"/>
        <rFont val="Arial"/>
      </rPr>
      <t>)/30)x3dias]/12</t>
    </r>
  </si>
  <si>
    <r>
      <rPr>
        <b/>
        <sz val="10"/>
        <color theme="1"/>
        <rFont val="Arial"/>
      </rPr>
      <t xml:space="preserve">  a) Cofins  </t>
    </r>
    <r>
      <rPr>
        <sz val="10"/>
        <color rgb="FFFF0000"/>
        <rFont val="Arial"/>
      </rPr>
      <t>(depende do regime de tributação - utilizada a hipótese de Lucro Real)</t>
    </r>
  </si>
  <si>
    <r>
      <rPr>
        <b/>
        <sz val="10"/>
        <color theme="1"/>
        <rFont val="Arial"/>
      </rPr>
      <t xml:space="preserve">  b) PIS </t>
    </r>
    <r>
      <rPr>
        <sz val="10"/>
        <color rgb="FFFF0000"/>
        <rFont val="Arial"/>
      </rPr>
      <t>(depende do regime de tributação - utilizada a hipótese de Lucro Real)</t>
    </r>
  </si>
  <si>
    <t>LEI 14.133/2021 - SAPIRANGA</t>
  </si>
  <si>
    <r>
      <rPr>
        <b/>
        <sz val="18"/>
        <color theme="1"/>
        <rFont val="Arial"/>
      </rPr>
      <t xml:space="preserve">ANEXO ----  </t>
    </r>
    <r>
      <rPr>
        <b/>
        <sz val="18"/>
        <color rgb="FFFF0000"/>
        <rFont val="Arial"/>
      </rPr>
      <t xml:space="preserve">do Pregão nº XX/2024 – </t>
    </r>
    <r>
      <rPr>
        <b/>
        <sz val="18"/>
        <color rgb="FF0000FF"/>
        <rFont val="Arial"/>
      </rPr>
      <t xml:space="preserve">CONTA VINCULADA
</t>
    </r>
    <r>
      <rPr>
        <b/>
        <sz val="18"/>
        <color theme="1"/>
        <rFont val="Arial"/>
      </rPr>
      <t xml:space="preserve">PLANILHA DE CUSTOS E FORMAÇÃO DE PREÇOS </t>
    </r>
    <r>
      <rPr>
        <b/>
        <sz val="18"/>
        <color rgb="FF800080"/>
        <rFont val="Arial"/>
      </rPr>
      <t xml:space="preserve"> </t>
    </r>
    <r>
      <rPr>
        <b/>
        <sz val="18"/>
        <color theme="1"/>
        <rFont val="Arial"/>
      </rPr>
      <t xml:space="preserve"> </t>
    </r>
  </si>
  <si>
    <t>Sapiranga/RS</t>
  </si>
  <si>
    <t>CONVENÇÃO COLETIVA DE TRABALHO 2024  - MTE RS000238/2024</t>
  </si>
  <si>
    <r>
      <rPr>
        <b/>
        <sz val="10"/>
        <color theme="1"/>
        <rFont val="Arial"/>
      </rPr>
      <t xml:space="preserve">Número de meses de execução contratual </t>
    </r>
    <r>
      <rPr>
        <b/>
        <sz val="10"/>
        <color rgb="FFFF0000"/>
        <rFont val="Arial"/>
      </rPr>
      <t>[Para efeito da análise dos Custos Não Renováveis (Analisar a exclusão dos CNR anualmente, em cada repactuação)]</t>
    </r>
  </si>
  <si>
    <r>
      <rPr>
        <b/>
        <sz val="15"/>
        <color theme="1"/>
        <rFont val="Arial"/>
      </rPr>
      <t xml:space="preserve">1. MÓDULOS 
</t>
    </r>
    <r>
      <rPr>
        <b/>
        <sz val="12"/>
        <color theme="1"/>
        <rFont val="Arial"/>
      </rPr>
      <t xml:space="preserve">Mão de obra
</t>
    </r>
    <r>
      <rPr>
        <b/>
        <sz val="11"/>
        <color theme="1"/>
        <rFont val="Arial"/>
      </rPr>
      <t>Mão de obra vinculada à execução contratual</t>
    </r>
  </si>
  <si>
    <r>
      <rPr>
        <b/>
        <sz val="10"/>
        <color theme="1"/>
        <rFont val="Arial"/>
      </rPr>
      <t xml:space="preserve">Salário-Base   </t>
    </r>
    <r>
      <rPr>
        <b/>
        <sz val="10"/>
        <color rgb="FFFF0000"/>
        <rFont val="Arial"/>
      </rPr>
      <t xml:space="preserve"> (25h/semana) 
</t>
    </r>
    <r>
      <rPr>
        <b/>
        <sz val="10"/>
        <color theme="1"/>
        <rFont val="Arial"/>
      </rPr>
      <t xml:space="preserve">         </t>
    </r>
  </si>
  <si>
    <r>
      <rPr>
        <b/>
        <sz val="11"/>
        <color theme="1"/>
        <rFont val="Arial"/>
      </rPr>
      <t>Submódulo 2.1 – 13º (décimo terceiro) Salário</t>
    </r>
    <r>
      <rPr>
        <b/>
        <sz val="11"/>
        <color theme="1"/>
        <rFont val="Arial"/>
      </rPr>
      <t xml:space="preserve"> e Adicional de Férias</t>
    </r>
  </si>
  <si>
    <r>
      <rPr>
        <b/>
        <sz val="11"/>
        <color theme="1"/>
        <rFont val="Arial"/>
      </rPr>
      <t>13º (décimo terceiro) Salário</t>
    </r>
    <r>
      <rPr>
        <b/>
        <sz val="11"/>
        <color rgb="FFFF0000"/>
        <rFont val="Arial"/>
      </rPr>
      <t xml:space="preserve"> </t>
    </r>
    <r>
      <rPr>
        <b/>
        <sz val="11"/>
        <color theme="1"/>
        <rFont val="Arial"/>
      </rPr>
      <t>e Adicional de Férias</t>
    </r>
  </si>
  <si>
    <r>
      <rPr>
        <b/>
        <sz val="10"/>
        <color theme="1"/>
        <rFont val="Arial"/>
      </rPr>
      <t>13º (décimo terceiro) Salário</t>
    </r>
    <r>
      <rPr>
        <b/>
        <sz val="11"/>
        <color rgb="FF000000"/>
        <rFont val="Arial"/>
      </rPr>
      <t xml:space="preserve"> </t>
    </r>
    <r>
      <rPr>
        <b/>
        <sz val="8"/>
        <color rgb="FFFF0000"/>
        <rFont val="Arial"/>
      </rPr>
      <t>Obrigatória a cotação de 8,33% sobre o valor do Módulo 1 – Composição da Remuneração, conforme Anexo XII da IN 5/17</t>
    </r>
  </si>
  <si>
    <r>
      <rPr>
        <b/>
        <sz val="10"/>
        <color rgb="FF000000"/>
        <rFont val="Arial"/>
      </rPr>
      <t>Adicional de Férias</t>
    </r>
    <r>
      <rPr>
        <b/>
        <sz val="10"/>
        <color rgb="FF009900"/>
        <rFont val="Arial"/>
      </rPr>
      <t xml:space="preserve"> </t>
    </r>
    <r>
      <rPr>
        <b/>
        <sz val="8"/>
        <color rgb="FFFF0000"/>
        <rFont val="Arial"/>
      </rPr>
      <t>Obrigatória a cotação de 3,025% sobre o valor do Módulo 1 – Composição da Remuneração, conforme Anexo XII da IN 5/17 (Férias + Adicional = 9,075% + 3,025% = 12,10%)</t>
    </r>
  </si>
  <si>
    <r>
      <rPr>
        <b/>
        <sz val="10"/>
        <color theme="1"/>
        <rFont val="Arial"/>
      </rPr>
      <t xml:space="preserve">Transporte                                              </t>
    </r>
    <r>
      <rPr>
        <b/>
        <sz val="10"/>
        <color rgb="FFFF0000"/>
        <rFont val="Arial"/>
      </rPr>
      <t xml:space="preserve"> Cálculo do valor: [(2xVTx22) – (6%xSB)]</t>
    </r>
  </si>
  <si>
    <t xml:space="preserve">      B.1) Valor do auxílio-alimentação (CLÁUSULA 11.1 da CCT): </t>
  </si>
  <si>
    <r>
      <rPr>
        <b/>
        <sz val="10"/>
        <color theme="1"/>
        <rFont val="Arial"/>
      </rPr>
      <t xml:space="preserve">13º (décimo terceiro) Salário </t>
    </r>
    <r>
      <rPr>
        <b/>
        <sz val="10"/>
        <color theme="1"/>
        <rFont val="Arial"/>
      </rPr>
      <t>e Adicional de Férias</t>
    </r>
  </si>
  <si>
    <r>
      <rPr>
        <b/>
        <sz val="10"/>
        <color theme="1"/>
        <rFont val="Arial"/>
      </rPr>
      <t xml:space="preserve">Aviso Prévio Indenizado     </t>
    </r>
    <r>
      <rPr>
        <b/>
        <sz val="8"/>
        <color rgb="FFFF0000"/>
        <rFont val="Arial"/>
      </rPr>
      <t>Aviso-prévio indenizado     Cálculo do valor = {Rem/12 + 13º/12=(Rem/12)/12 + Férias/12=(Rem/12)/12 + (1/3xFérias)/12=1/3x[(Rem/12)/12]} x (30/30=1) x 5% de rotatividade anual - Os reflexos de 13º, F e 1/3F são referentes a 1 mês de APInd - Na prorrogação, poderão ser considerados 3 dias conforme Lei nº 12.506/2011, dependendo da análise do nº de ocorrências deste evento no período</t>
    </r>
  </si>
  <si>
    <r>
      <rPr>
        <b/>
        <sz val="10"/>
        <color theme="1"/>
        <rFont val="Arial"/>
      </rPr>
      <t xml:space="preserve">Aviso Prévio Trabalhado                 (negociar extinção/redução na 1ª prorrogação)
</t>
    </r>
    <r>
      <rPr>
        <b/>
        <sz val="10"/>
        <color rgb="FFFF0000"/>
        <rFont val="Arial"/>
      </rPr>
      <t>Cálculo do valor= [(Rem/30)x7]/60 meses do contratox100% dos empregados - ao final do contrato</t>
    </r>
  </si>
  <si>
    <r>
      <rPr>
        <b/>
        <sz val="10"/>
        <color theme="1"/>
        <rFont val="Arial"/>
      </rPr>
      <t xml:space="preserve">Multa do FGTS e contribuição social sobre o Aviso Prévio Trabalhado e Aviso Prévio Indenizado. </t>
    </r>
    <r>
      <rPr>
        <b/>
        <sz val="8"/>
        <color rgb="FFFF0000"/>
        <rFont val="Arial"/>
      </rPr>
      <t>Obrigatória a cotação de 4,00% sobre o valor do Módulo 1 – Composição da Remuneração, conforme Anexo XII da IN Seges nº 5/2017</t>
    </r>
  </si>
  <si>
    <r>
      <rPr>
        <b/>
        <sz val="10"/>
        <color theme="1"/>
        <rFont val="Arial"/>
      </rPr>
      <t xml:space="preserve">Subsitituto na cobertura de Ausências Legais                </t>
    </r>
    <r>
      <rPr>
        <b/>
        <sz val="10"/>
        <color rgb="FFFF0000"/>
        <rFont val="Arial"/>
      </rPr>
      <t>Cálculo do valor = [(</t>
    </r>
    <r>
      <rPr>
        <b/>
        <sz val="10"/>
        <color rgb="FF0000FF"/>
        <rFont val="Arial"/>
      </rPr>
      <t>BCCPA</t>
    </r>
    <r>
      <rPr>
        <b/>
        <sz val="10"/>
        <color rgb="FFFF0000"/>
        <rFont val="Arial"/>
      </rPr>
      <t>/30)x2,96dias]/12</t>
    </r>
  </si>
  <si>
    <r>
      <rPr>
        <b/>
        <sz val="10"/>
        <color theme="1"/>
        <rFont val="Arial"/>
      </rPr>
      <t xml:space="preserve">Subsitituto na cobertura de Licença-Paternidade    </t>
    </r>
    <r>
      <rPr>
        <b/>
        <sz val="10"/>
        <color rgb="FFFF0000"/>
        <rFont val="Arial"/>
      </rPr>
      <t>Cálculo do valor = {[(</t>
    </r>
    <r>
      <rPr>
        <b/>
        <sz val="10"/>
        <color rgb="FF0000FF"/>
        <rFont val="Arial"/>
      </rPr>
      <t>BCCPA</t>
    </r>
    <r>
      <rPr>
        <b/>
        <sz val="10"/>
        <color rgb="FFFF0000"/>
        <rFont val="Arial"/>
      </rPr>
      <t>/30)x5dias]/12}x1,5%</t>
    </r>
  </si>
  <si>
    <r>
      <rPr>
        <b/>
        <sz val="10"/>
        <color theme="1"/>
        <rFont val="Arial"/>
      </rPr>
      <t xml:space="preserve">Subsitituto na cobertura de Ausência por acidente de trabalho </t>
    </r>
    <r>
      <rPr>
        <b/>
        <sz val="10"/>
        <color rgb="FFFF0000"/>
        <rFont val="Arial"/>
      </rPr>
      <t>Cálculo do valor  = {[(</t>
    </r>
    <r>
      <rPr>
        <b/>
        <sz val="10"/>
        <color rgb="FF0000FF"/>
        <rFont val="Arial"/>
      </rPr>
      <t>BCCPA</t>
    </r>
    <r>
      <rPr>
        <b/>
        <sz val="10"/>
        <color rgb="FFFF0000"/>
        <rFont val="Arial"/>
      </rPr>
      <t>/30)x0,97dias]/12}</t>
    </r>
  </si>
  <si>
    <r>
      <rPr>
        <b/>
        <sz val="10"/>
        <color theme="1"/>
        <rFont val="Arial"/>
      </rPr>
      <t xml:space="preserve">Subsitituto na cobertura de Afastamento Maternidade   </t>
    </r>
    <r>
      <rPr>
        <b/>
        <sz val="10"/>
        <color rgb="FFFF0000"/>
        <rFont val="Arial"/>
      </rPr>
      <t>Cálculo do valor = [((Férias + Férias / 3) + SUB2.2 x (Férias + Férias / 3)) x (4/12)] x 2% + [( FGTS x Rem + SUB 2.2 x 13º + SUB2.3 – VA – VT + MÓD3) x (4/12)] } x 2%     
Não incide Contribuição Previdenciária Patronal (INSS + 3ªs entidades) sobre a Remuneração da empregada residente nos 4 meses de Afastamento, conforme Solução de Consulta Cosit/RFB nº 27/2023, publicada na pág. 20 da Seção 1 do DOU de 09/02/2023. A Remuneração e o 13º da empregada residente poderão ser compensados, por isso não constam da fórmula.</t>
    </r>
  </si>
  <si>
    <r>
      <rPr>
        <b/>
        <sz val="10"/>
        <color rgb="FF000000"/>
        <rFont val="Arial"/>
      </rPr>
      <t xml:space="preserve">Substituto na cobertura de Ausência por doença              </t>
    </r>
    <r>
      <rPr>
        <b/>
        <sz val="10"/>
        <color rgb="FFFF0000"/>
        <rFont val="Arial"/>
      </rPr>
      <t>Cálculo do valor = [(</t>
    </r>
    <r>
      <rPr>
        <b/>
        <sz val="10"/>
        <color rgb="FF0000FF"/>
        <rFont val="Arial"/>
      </rPr>
      <t>BCCPA</t>
    </r>
    <r>
      <rPr>
        <b/>
        <sz val="10"/>
        <color rgb="FFFF0000"/>
        <rFont val="Arial"/>
      </rPr>
      <t>)/30)x3dias]/12</t>
    </r>
  </si>
  <si>
    <r>
      <rPr>
        <b/>
        <sz val="10"/>
        <color theme="1"/>
        <rFont val="Arial"/>
      </rPr>
      <t xml:space="preserve">  a) Cofins  </t>
    </r>
    <r>
      <rPr>
        <sz val="10"/>
        <color rgb="FFFF0000"/>
        <rFont val="Arial"/>
      </rPr>
      <t>(depende do regime de tributação - utilizada a hipótese de Lucro Real)</t>
    </r>
  </si>
  <si>
    <r>
      <rPr>
        <b/>
        <sz val="10"/>
        <color theme="1"/>
        <rFont val="Arial"/>
      </rPr>
      <t xml:space="preserve">  b) PIS </t>
    </r>
    <r>
      <rPr>
        <sz val="10"/>
        <color rgb="FFFF0000"/>
        <rFont val="Arial"/>
      </rPr>
      <t>(depende do regime de tributação - utilizada a hipótese de Lucro Real)</t>
    </r>
  </si>
  <si>
    <t xml:space="preserve">  a) ISS        (LEI Nº 3282, DE 24/12/2003 - Prefeitura de Sapiranga/RS)</t>
  </si>
  <si>
    <r>
      <rPr>
        <b/>
        <sz val="18"/>
        <color theme="1"/>
        <rFont val="Arial"/>
      </rPr>
      <t xml:space="preserve">ANEXO ----  </t>
    </r>
    <r>
      <rPr>
        <b/>
        <sz val="18"/>
        <color rgb="FFFF0000"/>
        <rFont val="Arial"/>
      </rPr>
      <t xml:space="preserve">do Pregão nº XX/2024 – </t>
    </r>
    <r>
      <rPr>
        <b/>
        <sz val="18"/>
        <color rgb="FF0000FF"/>
        <rFont val="Arial"/>
      </rPr>
      <t xml:space="preserve">CONTA VINCULADA
</t>
    </r>
    <r>
      <rPr>
        <b/>
        <sz val="18"/>
        <color theme="1"/>
        <rFont val="Arial"/>
      </rPr>
      <t xml:space="preserve">PLANILHA DE CUSTOS E FORMAÇÃO DE PREÇOS </t>
    </r>
    <r>
      <rPr>
        <b/>
        <sz val="18"/>
        <color rgb="FF800080"/>
        <rFont val="Arial"/>
      </rPr>
      <t xml:space="preserve"> </t>
    </r>
    <r>
      <rPr>
        <b/>
        <sz val="18"/>
        <color theme="1"/>
        <rFont val="Arial"/>
      </rPr>
      <t xml:space="preserve"> </t>
    </r>
  </si>
  <si>
    <t>CONVENÇÃO COLETIVA DE TRABALHO 2024 - MTE:  RS000045/2024</t>
  </si>
  <si>
    <r>
      <rPr>
        <b/>
        <sz val="10"/>
        <color theme="1"/>
        <rFont val="Arial"/>
      </rPr>
      <t xml:space="preserve">Número de meses de execução contratual </t>
    </r>
    <r>
      <rPr>
        <b/>
        <sz val="10"/>
        <color rgb="FFFF0000"/>
        <rFont val="Arial"/>
      </rPr>
      <t>[Para efeito da análise dos Custos Não Renováveis (Analisar a exclusão dos CNR anualmente, em cada repactuação)]</t>
    </r>
  </si>
  <si>
    <r>
      <rPr>
        <b/>
        <sz val="15"/>
        <color theme="1"/>
        <rFont val="Arial"/>
      </rPr>
      <t xml:space="preserve">1. MÓDULOS 
</t>
    </r>
    <r>
      <rPr>
        <b/>
        <sz val="12"/>
        <color theme="1"/>
        <rFont val="Arial"/>
      </rPr>
      <t xml:space="preserve">Mão de obra
</t>
    </r>
    <r>
      <rPr>
        <b/>
        <sz val="11"/>
        <color theme="1"/>
        <rFont val="Arial"/>
      </rPr>
      <t>Mão de obra vinculada à execução contratual</t>
    </r>
  </si>
  <si>
    <r>
      <rPr>
        <b/>
        <sz val="10"/>
        <color theme="1"/>
        <rFont val="Arial"/>
      </rPr>
      <t xml:space="preserve">Salário-Base   </t>
    </r>
    <r>
      <rPr>
        <b/>
        <sz val="10"/>
        <color rgb="FFFF0000"/>
        <rFont val="Arial"/>
      </rPr>
      <t xml:space="preserve"> (valor para somente 1 Jardineiro/a - 25h/semana) 
</t>
    </r>
    <r>
      <rPr>
        <b/>
        <sz val="10"/>
        <color theme="1"/>
        <rFont val="Arial"/>
      </rPr>
      <t xml:space="preserve">         </t>
    </r>
  </si>
  <si>
    <r>
      <rPr>
        <b/>
        <sz val="11"/>
        <color theme="1"/>
        <rFont val="Arial"/>
      </rPr>
      <t>Submódulo 2.1 – 13º (décimo terceiro) Salário</t>
    </r>
    <r>
      <rPr>
        <b/>
        <sz val="11"/>
        <color theme="1"/>
        <rFont val="Arial"/>
      </rPr>
      <t xml:space="preserve"> e Adicional de Férias</t>
    </r>
  </si>
  <si>
    <r>
      <rPr>
        <b/>
        <sz val="11"/>
        <color theme="1"/>
        <rFont val="Arial"/>
      </rPr>
      <t>13º (décimo terceiro) Salário</t>
    </r>
    <r>
      <rPr>
        <b/>
        <sz val="11"/>
        <color rgb="FFFF0000"/>
        <rFont val="Arial"/>
      </rPr>
      <t xml:space="preserve"> </t>
    </r>
    <r>
      <rPr>
        <b/>
        <sz val="11"/>
        <color theme="1"/>
        <rFont val="Arial"/>
      </rPr>
      <t>e Adicional de Férias</t>
    </r>
  </si>
  <si>
    <r>
      <rPr>
        <b/>
        <sz val="10"/>
        <color theme="1"/>
        <rFont val="Arial"/>
      </rPr>
      <t>13º (décimo terceiro) Salário</t>
    </r>
    <r>
      <rPr>
        <b/>
        <sz val="11"/>
        <color rgb="FF000000"/>
        <rFont val="Arial"/>
      </rPr>
      <t xml:space="preserve"> </t>
    </r>
    <r>
      <rPr>
        <b/>
        <sz val="8"/>
        <color rgb="FFFF0000"/>
        <rFont val="Arial"/>
      </rPr>
      <t>Obrigatória a cotação de 8,33% sobre o valor do Módulo 1 – Composição da Remuneração, conforme Anexo XII da IN 5/17</t>
    </r>
  </si>
  <si>
    <r>
      <rPr>
        <b/>
        <sz val="10"/>
        <color rgb="FF000000"/>
        <rFont val="Arial"/>
      </rPr>
      <t>Adicional de Férias</t>
    </r>
    <r>
      <rPr>
        <b/>
        <sz val="10"/>
        <color rgb="FF009900"/>
        <rFont val="Arial"/>
      </rPr>
      <t xml:space="preserve"> </t>
    </r>
    <r>
      <rPr>
        <b/>
        <sz val="8"/>
        <color rgb="FFFF0000"/>
        <rFont val="Arial"/>
      </rPr>
      <t>Obrigatória a cotação de 3,025% sobre o valor do Módulo 1 – Composição da Remuneração, conforme Anexo XII da IN 5/17 (Férias + Adicional = 9,075% + 3,025% = 12,10%)</t>
    </r>
  </si>
  <si>
    <r>
      <rPr>
        <b/>
        <sz val="10"/>
        <color theme="1"/>
        <rFont val="Arial"/>
      </rPr>
      <t xml:space="preserve">Transporte                                              </t>
    </r>
    <r>
      <rPr>
        <b/>
        <sz val="10"/>
        <color rgb="FFFF0000"/>
        <rFont val="Arial"/>
      </rPr>
      <t xml:space="preserve"> Cálculo do valor: [(2xVTx22) – (6%xSB)]</t>
    </r>
  </si>
  <si>
    <r>
      <rPr>
        <b/>
        <sz val="10"/>
        <color theme="1"/>
        <rFont val="Arial"/>
      </rPr>
      <t xml:space="preserve">Auxílio-Refeição/Alimentação </t>
    </r>
    <r>
      <rPr>
        <b/>
        <sz val="10"/>
        <color rgb="FFFF0000"/>
        <rFont val="Arial"/>
      </rPr>
      <t>Cálculo do valor = [(22xVA)x(1-</t>
    </r>
    <r>
      <rPr>
        <b/>
        <sz val="10"/>
        <color rgb="FF0000FF"/>
        <rFont val="Arial"/>
      </rPr>
      <t>0,19</t>
    </r>
    <r>
      <rPr>
        <b/>
        <sz val="10"/>
        <color rgb="FFFF0000"/>
        <rFont val="Arial"/>
      </rPr>
      <t>)]</t>
    </r>
  </si>
  <si>
    <t>Plano de Benefício Social Familiar  MTE: RS000045/2024</t>
  </si>
  <si>
    <r>
      <rPr>
        <b/>
        <sz val="10"/>
        <color theme="1"/>
        <rFont val="Arial"/>
      </rPr>
      <t xml:space="preserve">13º (décimo terceiro) Salário </t>
    </r>
    <r>
      <rPr>
        <b/>
        <sz val="10"/>
        <color theme="1"/>
        <rFont val="Arial"/>
      </rPr>
      <t>e Adicional de Férias</t>
    </r>
  </si>
  <si>
    <r>
      <rPr>
        <b/>
        <sz val="10"/>
        <color theme="1"/>
        <rFont val="Arial"/>
      </rPr>
      <t xml:space="preserve">Aviso Prévio Indenizado     </t>
    </r>
    <r>
      <rPr>
        <b/>
        <sz val="8"/>
        <color rgb="FFFF0000"/>
        <rFont val="Arial"/>
      </rPr>
      <t>Aviso-prévio indenizado     Cálculo do valor = {Rem/12 + 13º/12=(Rem/12)/12 + Férias/12=(Rem/12)/12 + (1/3xFérias)/12=1/3x[(Rem/12)/12]} x (30/30=1) x 5% de rotatividade anual - Os reflexos de 13º, F e 1/3F são referentes a 1 mês de APInd - Na prorrogação, poderão ser considerados 3 dias conforme Lei nº 12.506/2011, dependendo da análise do nº de ocorrências deste evento no período</t>
    </r>
  </si>
  <si>
    <r>
      <rPr>
        <b/>
        <sz val="10"/>
        <color theme="1"/>
        <rFont val="Arial"/>
      </rPr>
      <t xml:space="preserve">Aviso Prévio Trabalhado                 (negociar extinção/redução na 1ª prorrogação)
</t>
    </r>
    <r>
      <rPr>
        <b/>
        <sz val="10"/>
        <color rgb="FFFF0000"/>
        <rFont val="Arial"/>
      </rPr>
      <t>Cálculo do valor= [(Rem/30)x7]/12 meses do contratox100% dos empregados - ao final do contrato</t>
    </r>
  </si>
  <si>
    <r>
      <rPr>
        <b/>
        <sz val="10"/>
        <color theme="1"/>
        <rFont val="Arial"/>
      </rPr>
      <t xml:space="preserve">Multa do FGTS e contribuição social sobre o Aviso Prévio Trabalhado e Aviso Prévio Indenizado. </t>
    </r>
    <r>
      <rPr>
        <b/>
        <sz val="8"/>
        <color rgb="FFFF0000"/>
        <rFont val="Arial"/>
      </rPr>
      <t>Obrigatória a cotação de 4,00% sobre o valor do Módulo 1 – Composição da Remuneração, conforme Anexo XII da IN Seges nº 5/2017</t>
    </r>
  </si>
  <si>
    <r>
      <rPr>
        <b/>
        <sz val="10"/>
        <color theme="1"/>
        <rFont val="Arial"/>
      </rPr>
      <t xml:space="preserve">Subsitituto na cobertura de Ausências Legais                </t>
    </r>
    <r>
      <rPr>
        <b/>
        <sz val="10"/>
        <color rgb="FFFF0000"/>
        <rFont val="Arial"/>
      </rPr>
      <t>Cálculo do valor = [(</t>
    </r>
    <r>
      <rPr>
        <b/>
        <sz val="10"/>
        <color rgb="FF0000FF"/>
        <rFont val="Arial"/>
      </rPr>
      <t>BCCPA</t>
    </r>
    <r>
      <rPr>
        <b/>
        <sz val="10"/>
        <color rgb="FFFF0000"/>
        <rFont val="Arial"/>
      </rPr>
      <t>/30)x2,96dias]/12</t>
    </r>
  </si>
  <si>
    <r>
      <rPr>
        <b/>
        <sz val="10"/>
        <color theme="1"/>
        <rFont val="Arial"/>
      </rPr>
      <t xml:space="preserve">Subsitituto na cobertura de Licença-Paternidade    </t>
    </r>
    <r>
      <rPr>
        <b/>
        <sz val="10"/>
        <color rgb="FFFF0000"/>
        <rFont val="Arial"/>
      </rPr>
      <t>Cálculo do valor = {[(</t>
    </r>
    <r>
      <rPr>
        <b/>
        <sz val="10"/>
        <color rgb="FF0000FF"/>
        <rFont val="Arial"/>
      </rPr>
      <t>BCCPA</t>
    </r>
    <r>
      <rPr>
        <b/>
        <sz val="10"/>
        <color rgb="FFFF0000"/>
        <rFont val="Arial"/>
      </rPr>
      <t>/30)x5dias]/12}x1,5%</t>
    </r>
  </si>
  <si>
    <r>
      <rPr>
        <b/>
        <sz val="10"/>
        <color theme="1"/>
        <rFont val="Arial"/>
      </rPr>
      <t xml:space="preserve">Subsitituto na cobertura de Ausência por acidente de trabalho </t>
    </r>
    <r>
      <rPr>
        <b/>
        <sz val="10"/>
        <color rgb="FFFF0000"/>
        <rFont val="Arial"/>
      </rPr>
      <t>Cálculo do valor  = {[(</t>
    </r>
    <r>
      <rPr>
        <b/>
        <sz val="10"/>
        <color rgb="FF0000FF"/>
        <rFont val="Arial"/>
      </rPr>
      <t>BCCPA</t>
    </r>
    <r>
      <rPr>
        <b/>
        <sz val="10"/>
        <color rgb="FFFF0000"/>
        <rFont val="Arial"/>
      </rPr>
      <t>/30)x0,97dias]/12}</t>
    </r>
  </si>
  <si>
    <r>
      <rPr>
        <b/>
        <sz val="10"/>
        <color theme="1"/>
        <rFont val="Arial"/>
      </rPr>
      <t xml:space="preserve">Subsitituto na cobertura de Afastamento Maternidade   </t>
    </r>
    <r>
      <rPr>
        <b/>
        <sz val="10"/>
        <color rgb="FFFF0000"/>
        <rFont val="Arial"/>
      </rPr>
      <t>Cálculo do valor = [((Férias + Férias / 3) + SUB2.2 x (Férias + Férias / 3)) x (4/12)] x 2% + [( FGTS x Rem + SUB 2.2 x 13º + SUB2.3 – VA – VT + MÓD3) x (4/12)] } x 2%     
Não incide Contribuição Previdenciária Patronal (INSS + 3ªs entidades) sobre a Remuneração da empregada residente nos 4 meses de Afastamento, conforme Solução de Consulta Cosit/RFB nº 27/2023, publicada na pág. 20 da Seção 1 do DOU de 09/02/2023. A Remuneração e o 13º da empregada residente poderão ser compensados, por isso não constam da fórmula.</t>
    </r>
  </si>
  <si>
    <r>
      <rPr>
        <b/>
        <sz val="10"/>
        <color rgb="FF000000"/>
        <rFont val="Arial"/>
      </rPr>
      <t xml:space="preserve">Subsitituto na cobertura de Ausência por doença              </t>
    </r>
    <r>
      <rPr>
        <b/>
        <sz val="10"/>
        <color rgb="FFFF0000"/>
        <rFont val="Arial"/>
      </rPr>
      <t>Cálculo do valor = [(</t>
    </r>
    <r>
      <rPr>
        <b/>
        <sz val="10"/>
        <color rgb="FF0000FF"/>
        <rFont val="Arial"/>
      </rPr>
      <t>BCCPA</t>
    </r>
    <r>
      <rPr>
        <b/>
        <sz val="10"/>
        <color rgb="FFFF0000"/>
        <rFont val="Arial"/>
      </rPr>
      <t>)/30)x3dias]/12</t>
    </r>
  </si>
  <si>
    <r>
      <rPr>
        <b/>
        <sz val="10"/>
        <color theme="1"/>
        <rFont val="Arial"/>
      </rPr>
      <t xml:space="preserve">  a) Cofins  </t>
    </r>
    <r>
      <rPr>
        <sz val="10"/>
        <color rgb="FFFF0000"/>
        <rFont val="Arial"/>
      </rPr>
      <t>(depende do regime de tributação - utilizada a hipótese de Lucro Real)</t>
    </r>
  </si>
  <si>
    <r>
      <rPr>
        <b/>
        <sz val="10"/>
        <color theme="1"/>
        <rFont val="Arial"/>
      </rPr>
      <t xml:space="preserve">  b) PIS </t>
    </r>
    <r>
      <rPr>
        <sz val="10"/>
        <color rgb="FFFF0000"/>
        <rFont val="Arial"/>
      </rPr>
      <t>(depende do regime de tributação - utilizada a hipótese de Lucro Real)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</si>
</sst>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_(* \(#,##0.00\);_(* \-??_);_(@_)"/>
    <numFmt numFmtId="165" formatCode="[$R$ -416]#,##0.00"/>
    <numFmt numFmtId="166" formatCode="0.0"/>
    <numFmt numFmtId="167" formatCode="_(&quot;R$ &quot;* #,##0.00_);_(&quot;R$ &quot;* \(#,##0.00\);_(&quot;R$ &quot;* \-??_);_(@_)"/>
    <numFmt numFmtId="168" formatCode="&quot;R$&quot;#,##0.00"/>
    <numFmt numFmtId="169" formatCode="0.000%"/>
    <numFmt numFmtId="170" formatCode="0.0000"/>
    <numFmt numFmtId="171" formatCode="0.0000%"/>
    <numFmt numFmtId="172" formatCode="&quot;R$ &quot;#,##0.00"/>
    <numFmt numFmtId="173" formatCode="yyyy\-m"/>
  </numFmts>
  <fonts count="36" x14ac:knownFonts="1">
    <font>
      <sz val="10"/>
      <color rgb="FF000000"/>
      <name val="Arial"/>
      <scheme val="minor"/>
    </font>
    <font>
      <b/>
      <sz val="14"/>
      <color rgb="FF000080"/>
      <name val="Arial"/>
    </font>
    <font>
      <sz val="10"/>
      <color theme="1"/>
      <name val="Arial"/>
    </font>
    <font>
      <b/>
      <sz val="12"/>
      <color rgb="FF000080"/>
      <name val="Arial"/>
    </font>
    <font>
      <sz val="10"/>
      <name val="Arial"/>
    </font>
    <font>
      <b/>
      <sz val="10"/>
      <color rgb="FF000080"/>
      <name val="Arial"/>
    </font>
    <font>
      <sz val="10"/>
      <color rgb="FF111111"/>
      <name val="Arial"/>
    </font>
    <font>
      <b/>
      <sz val="10"/>
      <color theme="1"/>
      <name val="Arial"/>
    </font>
    <font>
      <sz val="10"/>
      <color rgb="FFFF0000"/>
      <name val="Arial"/>
    </font>
    <font>
      <sz val="10"/>
      <color theme="1"/>
      <name val="Arial"/>
    </font>
    <font>
      <b/>
      <sz val="13"/>
      <color rgb="FF000080"/>
      <name val="Arial"/>
    </font>
    <font>
      <b/>
      <sz val="10"/>
      <color rgb="FF000000"/>
      <name val="Arial"/>
    </font>
    <font>
      <sz val="10"/>
      <color rgb="FF000000"/>
      <name val="Arial"/>
    </font>
    <font>
      <b/>
      <sz val="10"/>
      <color rgb="FF0000FF"/>
      <name val="Arial"/>
    </font>
    <font>
      <b/>
      <sz val="14"/>
      <color theme="0"/>
      <name val="Arial"/>
    </font>
    <font>
      <b/>
      <sz val="14"/>
      <color rgb="FF800080"/>
      <name val="Arial"/>
    </font>
    <font>
      <b/>
      <sz val="18"/>
      <color theme="1"/>
      <name val="Arial"/>
    </font>
    <font>
      <b/>
      <sz val="10"/>
      <color theme="1"/>
      <name val="Arial"/>
    </font>
    <font>
      <b/>
      <sz val="10"/>
      <color rgb="FFFF0000"/>
      <name val="Arial"/>
    </font>
    <font>
      <b/>
      <sz val="11"/>
      <color theme="1"/>
      <name val="Arial"/>
    </font>
    <font>
      <b/>
      <sz val="18"/>
      <color rgb="FFFFFFFF"/>
      <name val="Arial"/>
    </font>
    <font>
      <b/>
      <sz val="18"/>
      <color rgb="FF800080"/>
      <name val="Arial"/>
    </font>
    <font>
      <b/>
      <sz val="15"/>
      <color theme="1"/>
      <name val="Arial"/>
    </font>
    <font>
      <b/>
      <sz val="11"/>
      <color rgb="FFFF0000"/>
      <name val="Arial"/>
    </font>
    <font>
      <b/>
      <sz val="10"/>
      <color rgb="FF000000"/>
      <name val="Arial"/>
    </font>
    <font>
      <b/>
      <sz val="9"/>
      <color rgb="FFFF0000"/>
      <name val="Arial"/>
    </font>
    <font>
      <b/>
      <strike/>
      <sz val="10"/>
      <color rgb="FF009900"/>
      <name val="Arial"/>
    </font>
    <font>
      <b/>
      <sz val="10"/>
      <color rgb="FF0000FF"/>
      <name val="Arial"/>
    </font>
    <font>
      <b/>
      <sz val="11"/>
      <color rgb="FF0000FF"/>
      <name val="Arial"/>
    </font>
    <font>
      <b/>
      <sz val="12"/>
      <color theme="1"/>
      <name val="Arial"/>
    </font>
    <font>
      <sz val="10"/>
      <color theme="1"/>
      <name val="Arial"/>
      <scheme val="minor"/>
    </font>
    <font>
      <b/>
      <sz val="18"/>
      <color rgb="FFFF0000"/>
      <name val="Arial"/>
    </font>
    <font>
      <b/>
      <sz val="18"/>
      <color rgb="FF0000FF"/>
      <name val="Arial"/>
    </font>
    <font>
      <b/>
      <sz val="11"/>
      <color rgb="FF000000"/>
      <name val="Arial"/>
    </font>
    <font>
      <b/>
      <sz val="8"/>
      <color rgb="FFFF0000"/>
      <name val="Arial"/>
    </font>
    <font>
      <b/>
      <sz val="10"/>
      <color rgb="FF009900"/>
      <name val="Arial"/>
    </font>
  </fonts>
  <fills count="13">
    <fill>
      <patternFill patternType="none"/>
    </fill>
    <fill>
      <patternFill patternType="gray125"/>
    </fill>
    <fill>
      <patternFill patternType="solid">
        <fgColor theme="6"/>
        <bgColor theme="6"/>
      </patternFill>
    </fill>
    <fill>
      <patternFill patternType="solid">
        <fgColor rgb="FFB2B2B2"/>
        <bgColor rgb="FFB2B2B2"/>
      </patternFill>
    </fill>
    <fill>
      <patternFill patternType="solid">
        <fgColor rgb="FFFFFF00"/>
        <bgColor rgb="FFFFFF00"/>
      </patternFill>
    </fill>
    <fill>
      <patternFill patternType="solid">
        <fgColor rgb="FFFFF200"/>
        <bgColor rgb="FFFFF200"/>
      </patternFill>
    </fill>
    <fill>
      <patternFill patternType="solid">
        <fgColor rgb="FF385623"/>
        <bgColor rgb="FF385623"/>
      </patternFill>
    </fill>
    <fill>
      <patternFill patternType="solid">
        <fgColor rgb="FFA8D08D"/>
        <bgColor rgb="FFA8D08D"/>
      </patternFill>
    </fill>
    <fill>
      <patternFill patternType="solid">
        <fgColor rgb="FFE2EFD9"/>
        <bgColor rgb="FFE2EFD9"/>
      </patternFill>
    </fill>
    <fill>
      <patternFill patternType="solid">
        <fgColor rgb="FFFFE599"/>
        <bgColor rgb="FFFFE599"/>
      </patternFill>
    </fill>
    <fill>
      <patternFill patternType="solid">
        <fgColor theme="9"/>
        <bgColor theme="9"/>
      </patternFill>
    </fill>
    <fill>
      <patternFill patternType="solid">
        <fgColor rgb="FF00FF00"/>
        <bgColor rgb="FF00FF00"/>
      </patternFill>
    </fill>
    <fill>
      <patternFill patternType="solid">
        <fgColor rgb="FFFFFFFF"/>
        <bgColor rgb="FFFFFFFF"/>
      </patternFill>
    </fill>
  </fills>
  <borders count="5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right style="medium">
        <color rgb="FF000000"/>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style="medium">
        <color rgb="FF000000"/>
      </left>
      <right/>
      <top style="hair">
        <color rgb="FF000000"/>
      </top>
      <bottom/>
      <diagonal/>
    </border>
    <border>
      <left/>
      <right/>
      <top style="hair">
        <color rgb="FF000000"/>
      </top>
      <bottom/>
      <diagonal/>
    </border>
    <border>
      <left/>
      <right style="medium">
        <color rgb="FF000000"/>
      </right>
      <top style="hair">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
      <left/>
      <right style="medium">
        <color rgb="FF000000"/>
      </right>
      <top/>
      <bottom style="hair">
        <color rgb="FF000000"/>
      </bottom>
      <diagonal/>
    </border>
    <border>
      <left style="medium">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style="hair">
        <color rgb="FF000000"/>
      </right>
      <top style="hair">
        <color rgb="FF000000"/>
      </top>
      <bottom/>
      <diagonal/>
    </border>
    <border>
      <left style="hair">
        <color rgb="FF000000"/>
      </left>
      <right style="hair">
        <color rgb="FF000000"/>
      </right>
      <top style="hair">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hair">
        <color rgb="FF000000"/>
      </right>
      <top style="medium">
        <color rgb="FF000000"/>
      </top>
      <bottom/>
      <diagonal/>
    </border>
    <border>
      <left/>
      <right style="hair">
        <color rgb="FF000000"/>
      </right>
      <top style="medium">
        <color rgb="FF000000"/>
      </top>
      <bottom/>
      <diagonal/>
    </border>
    <border>
      <left style="hair">
        <color rgb="FF000000"/>
      </left>
      <right style="hair">
        <color rgb="FF000000"/>
      </right>
      <top style="medium">
        <color rgb="FF000000"/>
      </top>
      <bottom/>
      <diagonal/>
    </border>
    <border>
      <left style="hair">
        <color rgb="FF000000"/>
      </left>
      <right style="medium">
        <color rgb="FF000000"/>
      </right>
      <top style="medium">
        <color rgb="FF000000"/>
      </top>
      <bottom/>
      <diagonal/>
    </border>
    <border>
      <left style="medium">
        <color rgb="FF000000"/>
      </left>
      <right style="hair">
        <color rgb="FF000000"/>
      </right>
      <top style="medium">
        <color rgb="FF000000"/>
      </top>
      <bottom style="hair">
        <color rgb="FF000000"/>
      </bottom>
      <diagonal/>
    </border>
    <border>
      <left style="hair">
        <color rgb="FF000000"/>
      </left>
      <right/>
      <top style="medium">
        <color rgb="FF000000"/>
      </top>
      <bottom/>
      <diagonal/>
    </border>
    <border>
      <left style="hair">
        <color rgb="FF000000"/>
      </left>
      <right style="medium">
        <color rgb="FF000000"/>
      </right>
      <top style="medium">
        <color rgb="FF000000"/>
      </top>
      <bottom style="hair">
        <color rgb="FF000000"/>
      </bottom>
      <diagonal/>
    </border>
    <border>
      <left style="hair">
        <color rgb="FF000000"/>
      </left>
      <right/>
      <top/>
      <bottom/>
      <diagonal/>
    </border>
    <border>
      <left/>
      <right style="hair">
        <color rgb="FF000000"/>
      </right>
      <top/>
      <bottom/>
      <diagonal/>
    </border>
    <border>
      <left style="hair">
        <color rgb="FF000000"/>
      </left>
      <right style="medium">
        <color rgb="FF000000"/>
      </right>
      <top/>
      <bottom/>
      <diagonal/>
    </border>
    <border>
      <left style="medium">
        <color rgb="FF000000"/>
      </left>
      <right style="hair">
        <color rgb="FF000000"/>
      </right>
      <top style="hair">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hair">
        <color rgb="FF000000"/>
      </left>
      <right/>
      <top style="hair">
        <color rgb="FF000000"/>
      </top>
      <bottom/>
      <diagonal/>
    </border>
    <border>
      <left/>
      <right style="hair">
        <color rgb="FF000000"/>
      </right>
      <top style="hair">
        <color rgb="FF000000"/>
      </top>
      <bottom/>
      <diagonal/>
    </border>
  </borders>
  <cellStyleXfs count="1">
    <xf numFmtId="0" fontId="0" fillId="0" borderId="0"/>
  </cellStyleXfs>
  <cellXfs count="268">
    <xf numFmtId="0" fontId="0" fillId="0" borderId="0" xfId="0"/>
    <xf numFmtId="0" fontId="2" fillId="0" borderId="0" xfId="0" applyFont="1"/>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164" fontId="5" fillId="3" borderId="5" xfId="0" applyNumberFormat="1" applyFont="1" applyFill="1" applyBorder="1" applyAlignment="1">
      <alignment horizontal="center" vertical="center" wrapText="1"/>
    </xf>
    <xf numFmtId="0" fontId="2" fillId="4" borderId="4" xfId="0" applyFont="1" applyFill="1" applyBorder="1" applyAlignment="1">
      <alignment wrapText="1"/>
    </xf>
    <xf numFmtId="0" fontId="2" fillId="0" borderId="5"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6" fillId="4" borderId="4" xfId="0" applyFont="1" applyFill="1" applyBorder="1" applyAlignment="1">
      <alignment wrapText="1"/>
    </xf>
    <xf numFmtId="164" fontId="7" fillId="3" borderId="5" xfId="0" applyNumberFormat="1" applyFont="1" applyFill="1" applyBorder="1" applyAlignment="1">
      <alignment horizontal="right" wrapText="1"/>
    </xf>
    <xf numFmtId="0" fontId="2" fillId="0" borderId="7" xfId="0" applyFont="1" applyBorder="1"/>
    <xf numFmtId="165" fontId="2" fillId="0" borderId="7" xfId="0" applyNumberFormat="1" applyFont="1" applyBorder="1"/>
    <xf numFmtId="164" fontId="2" fillId="0" borderId="0" xfId="0" applyNumberFormat="1" applyFont="1"/>
    <xf numFmtId="0" fontId="5" fillId="3" borderId="8" xfId="0" applyFont="1" applyFill="1" applyBorder="1" applyAlignment="1">
      <alignment horizontal="center" vertical="center" wrapText="1"/>
    </xf>
    <xf numFmtId="164" fontId="5" fillId="3" borderId="8" xfId="0" applyNumberFormat="1" applyFont="1" applyFill="1" applyBorder="1" applyAlignment="1">
      <alignment horizontal="center" vertical="center" wrapText="1"/>
    </xf>
    <xf numFmtId="0" fontId="8" fillId="0" borderId="5" xfId="0" applyFont="1" applyBorder="1" applyAlignment="1">
      <alignment horizontal="center" vertical="center" wrapText="1"/>
    </xf>
    <xf numFmtId="166" fontId="2" fillId="0" borderId="5" xfId="0" applyNumberFormat="1" applyFont="1" applyBorder="1" applyAlignment="1">
      <alignment horizontal="center" vertical="center" wrapText="1"/>
    </xf>
    <xf numFmtId="4" fontId="7" fillId="3" borderId="5" xfId="0" applyNumberFormat="1" applyFont="1" applyFill="1" applyBorder="1" applyAlignment="1">
      <alignment horizontal="right" wrapText="1"/>
    </xf>
    <xf numFmtId="0" fontId="2" fillId="0" borderId="5" xfId="0" applyFont="1" applyBorder="1" applyAlignment="1">
      <alignment horizontal="center" wrapText="1"/>
    </xf>
    <xf numFmtId="1" fontId="2" fillId="0" borderId="5" xfId="0" applyNumberFormat="1" applyFont="1" applyBorder="1" applyAlignment="1">
      <alignment horizontal="center" wrapText="1"/>
    </xf>
    <xf numFmtId="4" fontId="2" fillId="0" borderId="5" xfId="0" applyNumberFormat="1" applyFont="1" applyBorder="1" applyAlignment="1">
      <alignment horizontal="center" wrapText="1"/>
    </xf>
    <xf numFmtId="0" fontId="2" fillId="4" borderId="4" xfId="0" applyFont="1" applyFill="1" applyBorder="1" applyAlignment="1">
      <alignment vertical="top" wrapText="1"/>
    </xf>
    <xf numFmtId="0" fontId="2" fillId="0" borderId="5" xfId="0" applyFont="1" applyBorder="1" applyAlignment="1">
      <alignment horizontal="center"/>
    </xf>
    <xf numFmtId="0" fontId="2" fillId="0" borderId="0" xfId="0" applyFont="1" applyAlignment="1">
      <alignment vertical="top"/>
    </xf>
    <xf numFmtId="0" fontId="5" fillId="3" borderId="3" xfId="0" applyFont="1" applyFill="1" applyBorder="1" applyAlignment="1">
      <alignment horizontal="center" vertical="center" wrapText="1"/>
    </xf>
    <xf numFmtId="164" fontId="5" fillId="3" borderId="3" xfId="0" applyNumberFormat="1" applyFont="1" applyFill="1" applyBorder="1" applyAlignment="1">
      <alignment horizontal="center" vertical="center" wrapText="1"/>
    </xf>
    <xf numFmtId="0" fontId="2" fillId="5" borderId="4" xfId="0" applyFont="1" applyFill="1" applyBorder="1" applyAlignment="1">
      <alignment wrapText="1"/>
    </xf>
    <xf numFmtId="0" fontId="2" fillId="5" borderId="4" xfId="0" applyFont="1" applyFill="1" applyBorder="1" applyAlignment="1">
      <alignment vertical="top" wrapText="1"/>
    </xf>
    <xf numFmtId="0" fontId="9" fillId="0" borderId="8" xfId="0" applyFont="1" applyBorder="1" applyAlignment="1">
      <alignment horizontal="center" vertical="center" wrapText="1"/>
    </xf>
    <xf numFmtId="0" fontId="2" fillId="4" borderId="4" xfId="0" applyFont="1" applyFill="1" applyBorder="1"/>
    <xf numFmtId="4" fontId="2" fillId="0" borderId="5" xfId="0" applyNumberFormat="1" applyFont="1" applyBorder="1" applyAlignment="1">
      <alignment horizontal="center"/>
    </xf>
    <xf numFmtId="4" fontId="2" fillId="0" borderId="5" xfId="0" applyNumberFormat="1" applyFont="1" applyBorder="1" applyAlignment="1">
      <alignment horizontal="center" vertical="center"/>
    </xf>
    <xf numFmtId="164" fontId="7" fillId="3" borderId="5" xfId="0" applyNumberFormat="1" applyFont="1" applyFill="1" applyBorder="1" applyAlignment="1">
      <alignment horizontal="right"/>
    </xf>
    <xf numFmtId="164" fontId="2" fillId="0" borderId="7" xfId="0" applyNumberFormat="1" applyFont="1" applyBorder="1"/>
    <xf numFmtId="0" fontId="2" fillId="0" borderId="5" xfId="0" applyFont="1" applyBorder="1" applyAlignment="1">
      <alignment horizontal="center" vertical="center"/>
    </xf>
    <xf numFmtId="0" fontId="2" fillId="4" borderId="8" xfId="0" applyFont="1" applyFill="1" applyBorder="1" applyAlignment="1">
      <alignment wrapText="1"/>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4" fontId="2" fillId="0" borderId="8" xfId="0" applyNumberFormat="1" applyFont="1" applyBorder="1" applyAlignment="1">
      <alignment horizontal="center" vertical="center"/>
    </xf>
    <xf numFmtId="164" fontId="7" fillId="3" borderId="8" xfId="0" applyNumberFormat="1" applyFont="1" applyFill="1" applyBorder="1" applyAlignment="1">
      <alignment horizontal="center" wrapText="1"/>
    </xf>
    <xf numFmtId="4" fontId="7" fillId="3" borderId="8" xfId="0" applyNumberFormat="1" applyFont="1" applyFill="1" applyBorder="1" applyAlignment="1">
      <alignment horizontal="right"/>
    </xf>
    <xf numFmtId="0" fontId="2" fillId="4" borderId="8" xfId="0" applyFont="1" applyFill="1" applyBorder="1"/>
    <xf numFmtId="0" fontId="2" fillId="0" borderId="3" xfId="0" applyFont="1" applyBorder="1" applyAlignment="1">
      <alignment horizontal="center" wrapText="1"/>
    </xf>
    <xf numFmtId="0" fontId="2" fillId="0" borderId="3" xfId="0" applyFont="1" applyBorder="1" applyAlignment="1">
      <alignment horizontal="center"/>
    </xf>
    <xf numFmtId="0" fontId="8" fillId="0" borderId="3" xfId="0" applyFont="1" applyBorder="1" applyAlignment="1">
      <alignment horizontal="center"/>
    </xf>
    <xf numFmtId="166" fontId="2" fillId="0" borderId="3" xfId="0" applyNumberFormat="1" applyFont="1" applyBorder="1" applyAlignment="1">
      <alignment horizontal="center"/>
    </xf>
    <xf numFmtId="165" fontId="2" fillId="0" borderId="3" xfId="0" applyNumberFormat="1" applyFont="1" applyBorder="1" applyAlignment="1">
      <alignment horizontal="center"/>
    </xf>
    <xf numFmtId="0" fontId="8" fillId="0" borderId="5" xfId="0" applyFont="1" applyBorder="1" applyAlignment="1">
      <alignment horizontal="center"/>
    </xf>
    <xf numFmtId="166" fontId="2" fillId="0" borderId="5" xfId="0" applyNumberFormat="1" applyFont="1" applyBorder="1" applyAlignment="1">
      <alignment horizontal="center"/>
    </xf>
    <xf numFmtId="165" fontId="2" fillId="0" borderId="5" xfId="0" applyNumberFormat="1" applyFont="1" applyBorder="1" applyAlignment="1">
      <alignment horizontal="center"/>
    </xf>
    <xf numFmtId="4" fontId="7" fillId="3" borderId="5" xfId="0" applyNumberFormat="1" applyFont="1" applyFill="1" applyBorder="1" applyAlignment="1">
      <alignment horizontal="right"/>
    </xf>
    <xf numFmtId="0" fontId="10" fillId="3" borderId="8" xfId="0" applyFont="1" applyFill="1" applyBorder="1" applyAlignment="1">
      <alignment horizontal="center"/>
    </xf>
    <xf numFmtId="0" fontId="11" fillId="3" borderId="8" xfId="0" applyFont="1" applyFill="1" applyBorder="1" applyAlignment="1">
      <alignment horizontal="center"/>
    </xf>
    <xf numFmtId="164" fontId="11" fillId="0" borderId="0" xfId="0" applyNumberFormat="1" applyFont="1" applyAlignment="1">
      <alignment horizontal="right"/>
    </xf>
    <xf numFmtId="0" fontId="12" fillId="3" borderId="8" xfId="0" applyFont="1" applyFill="1" applyBorder="1" applyAlignment="1">
      <alignment horizontal="left"/>
    </xf>
    <xf numFmtId="4" fontId="5" fillId="0" borderId="0" xfId="0" applyNumberFormat="1" applyFont="1" applyAlignment="1">
      <alignment horizontal="right"/>
    </xf>
    <xf numFmtId="0" fontId="11" fillId="3" borderId="8" xfId="0" applyFont="1" applyFill="1" applyBorder="1"/>
    <xf numFmtId="0" fontId="11" fillId="0" borderId="0" xfId="0" applyFont="1"/>
    <xf numFmtId="0" fontId="5" fillId="0" borderId="0" xfId="0" applyFont="1" applyAlignment="1">
      <alignment horizontal="right"/>
    </xf>
    <xf numFmtId="0" fontId="12" fillId="0" borderId="0" xfId="0" applyFont="1" applyAlignment="1">
      <alignment horizontal="right"/>
    </xf>
    <xf numFmtId="0" fontId="12" fillId="0" borderId="0" xfId="0" applyFont="1"/>
    <xf numFmtId="0" fontId="13" fillId="3" borderId="0" xfId="0" applyFont="1" applyFill="1" applyAlignment="1">
      <alignment horizontal="center"/>
    </xf>
    <xf numFmtId="0" fontId="12" fillId="0" borderId="0" xfId="0" applyFont="1" applyAlignment="1">
      <alignment horizontal="center"/>
    </xf>
    <xf numFmtId="0" fontId="8" fillId="0" borderId="3" xfId="0" applyFont="1" applyBorder="1" applyAlignment="1">
      <alignment horizontal="center" wrapText="1"/>
    </xf>
    <xf numFmtId="166" fontId="2" fillId="0" borderId="3" xfId="0" applyNumberFormat="1" applyFont="1" applyBorder="1" applyAlignment="1">
      <alignment horizontal="center" wrapText="1"/>
    </xf>
    <xf numFmtId="4" fontId="2" fillId="0" borderId="3" xfId="0" applyNumberFormat="1" applyFont="1" applyBorder="1" applyAlignment="1">
      <alignment horizontal="center" wrapText="1"/>
    </xf>
    <xf numFmtId="0" fontId="8" fillId="0" borderId="5" xfId="0" applyFont="1" applyBorder="1" applyAlignment="1">
      <alignment horizontal="center" wrapText="1"/>
    </xf>
    <xf numFmtId="166" fontId="2" fillId="0" borderId="5" xfId="0" applyNumberFormat="1" applyFont="1" applyBorder="1" applyAlignment="1">
      <alignment horizontal="center" wrapText="1"/>
    </xf>
    <xf numFmtId="4" fontId="2" fillId="0" borderId="8" xfId="0" applyNumberFormat="1" applyFont="1" applyBorder="1" applyAlignment="1">
      <alignment horizontal="center" wrapText="1"/>
    </xf>
    <xf numFmtId="0" fontId="2" fillId="0" borderId="0" xfId="0" applyFont="1" applyAlignment="1">
      <alignment horizontal="center" wrapText="1"/>
    </xf>
    <xf numFmtId="4" fontId="7" fillId="3" borderId="8" xfId="0" applyNumberFormat="1" applyFont="1" applyFill="1" applyBorder="1" applyAlignment="1">
      <alignment horizontal="right" wrapText="1"/>
    </xf>
    <xf numFmtId="1" fontId="2" fillId="0" borderId="8" xfId="0" applyNumberFormat="1" applyFont="1" applyBorder="1" applyAlignment="1">
      <alignment horizontal="center" wrapText="1"/>
    </xf>
    <xf numFmtId="1" fontId="2" fillId="0" borderId="4" xfId="0" applyNumberFormat="1" applyFont="1" applyBorder="1" applyAlignment="1">
      <alignment horizontal="center" wrapText="1"/>
    </xf>
    <xf numFmtId="4" fontId="2" fillId="0" borderId="3" xfId="0" applyNumberFormat="1" applyFont="1" applyBorder="1" applyAlignment="1">
      <alignment horizontal="center"/>
    </xf>
    <xf numFmtId="0" fontId="2" fillId="4" borderId="4" xfId="0" applyFont="1" applyFill="1" applyBorder="1" applyAlignment="1">
      <alignment vertical="center"/>
    </xf>
    <xf numFmtId="0" fontId="2" fillId="0" borderId="3" xfId="0" applyFont="1" applyBorder="1" applyAlignment="1">
      <alignment horizontal="center" vertical="center"/>
    </xf>
    <xf numFmtId="0" fontId="8" fillId="0" borderId="3" xfId="0" applyFont="1" applyBorder="1" applyAlignment="1">
      <alignment horizontal="center" vertical="center"/>
    </xf>
    <xf numFmtId="166" fontId="2" fillId="0" borderId="3" xfId="0" applyNumberFormat="1" applyFont="1" applyBorder="1" applyAlignment="1">
      <alignment horizontal="center" vertical="center"/>
    </xf>
    <xf numFmtId="0" fontId="8" fillId="0" borderId="5" xfId="0" applyFont="1" applyBorder="1" applyAlignment="1">
      <alignment horizontal="center" vertical="center"/>
    </xf>
    <xf numFmtId="166" fontId="2" fillId="0" borderId="5" xfId="0" applyNumberFormat="1" applyFont="1" applyBorder="1" applyAlignment="1">
      <alignment horizontal="center" vertical="center"/>
    </xf>
    <xf numFmtId="1" fontId="2" fillId="0" borderId="0" xfId="0" applyNumberFormat="1" applyFont="1" applyAlignment="1">
      <alignment horizontal="center" wrapText="1"/>
    </xf>
    <xf numFmtId="0" fontId="2" fillId="0" borderId="0" xfId="0" applyFont="1" applyAlignment="1">
      <alignment horizontal="center"/>
    </xf>
    <xf numFmtId="0" fontId="2" fillId="0" borderId="8" xfId="0" applyFont="1" applyBorder="1" applyAlignment="1">
      <alignment horizontal="center" wrapText="1"/>
    </xf>
    <xf numFmtId="0" fontId="2" fillId="0" borderId="4" xfId="0" applyFont="1" applyBorder="1" applyAlignment="1">
      <alignment horizontal="center" wrapText="1"/>
    </xf>
    <xf numFmtId="0" fontId="17" fillId="0" borderId="23"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9"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31" xfId="0" applyFont="1" applyBorder="1" applyAlignment="1">
      <alignment horizontal="center" vertical="center"/>
    </xf>
    <xf numFmtId="0" fontId="17" fillId="0" borderId="32" xfId="0" applyFont="1" applyBorder="1" applyAlignment="1">
      <alignment horizontal="center" vertical="center" wrapText="1"/>
    </xf>
    <xf numFmtId="0" fontId="17" fillId="0" borderId="33" xfId="0" applyFont="1" applyBorder="1" applyAlignment="1">
      <alignment horizontal="center" vertical="center" wrapText="1"/>
    </xf>
    <xf numFmtId="0" fontId="9" fillId="8" borderId="29" xfId="0" applyFont="1" applyFill="1" applyBorder="1" applyAlignment="1">
      <alignment horizontal="center" vertical="center"/>
    </xf>
    <xf numFmtId="0" fontId="9" fillId="8" borderId="34" xfId="0" applyFont="1" applyFill="1" applyBorder="1" applyAlignment="1">
      <alignment horizontal="center" vertical="center"/>
    </xf>
    <xf numFmtId="0" fontId="9" fillId="8" borderId="30" xfId="0" applyFont="1" applyFill="1" applyBorder="1" applyAlignment="1">
      <alignment vertical="center"/>
    </xf>
    <xf numFmtId="167" fontId="9" fillId="8" borderId="30" xfId="0" applyNumberFormat="1" applyFont="1" applyFill="1" applyBorder="1" applyAlignment="1">
      <alignment horizontal="right" vertical="center"/>
    </xf>
    <xf numFmtId="0" fontId="9" fillId="8" borderId="30" xfId="0" applyFont="1" applyFill="1" applyBorder="1" applyAlignment="1">
      <alignment horizontal="center" vertical="center"/>
    </xf>
    <xf numFmtId="167" fontId="9" fillId="8" borderId="35" xfId="0" applyNumberFormat="1" applyFont="1" applyFill="1" applyBorder="1" applyAlignment="1">
      <alignment horizontal="right" vertical="center"/>
    </xf>
    <xf numFmtId="0" fontId="9" fillId="8" borderId="36" xfId="0" applyFont="1" applyFill="1" applyBorder="1" applyAlignment="1">
      <alignment horizontal="center" vertical="center"/>
    </xf>
    <xf numFmtId="0" fontId="9" fillId="8" borderId="37" xfId="0" applyFont="1" applyFill="1" applyBorder="1" applyAlignment="1">
      <alignment vertical="center"/>
    </xf>
    <xf numFmtId="0" fontId="9" fillId="8" borderId="37" xfId="0" applyFont="1" applyFill="1" applyBorder="1" applyAlignment="1">
      <alignment horizontal="center" vertical="center"/>
    </xf>
    <xf numFmtId="167" fontId="17" fillId="0" borderId="38" xfId="0" applyNumberFormat="1" applyFont="1" applyBorder="1" applyAlignment="1">
      <alignment vertical="center"/>
    </xf>
    <xf numFmtId="0" fontId="18" fillId="0" borderId="39" xfId="0" applyFont="1" applyBorder="1" applyAlignment="1">
      <alignment vertical="center"/>
    </xf>
    <xf numFmtId="0" fontId="18" fillId="0" borderId="40" xfId="0" applyFont="1" applyBorder="1" applyAlignment="1">
      <alignment vertical="center"/>
    </xf>
    <xf numFmtId="0" fontId="18" fillId="0" borderId="41" xfId="0" applyFont="1" applyBorder="1" applyAlignment="1">
      <alignment vertical="center"/>
    </xf>
    <xf numFmtId="0" fontId="18" fillId="0" borderId="42" xfId="0" applyFont="1" applyBorder="1" applyAlignment="1">
      <alignment vertical="center"/>
    </xf>
    <xf numFmtId="0" fontId="9" fillId="0" borderId="43" xfId="0" applyFont="1" applyBorder="1" applyAlignment="1">
      <alignment horizontal="center" vertical="center"/>
    </xf>
    <xf numFmtId="167" fontId="18" fillId="0" borderId="45" xfId="0" applyNumberFormat="1" applyFont="1" applyBorder="1" applyAlignment="1">
      <alignment horizontal="right" vertical="center"/>
    </xf>
    <xf numFmtId="0" fontId="9" fillId="0" borderId="23" xfId="0" applyFont="1" applyBorder="1" applyAlignment="1">
      <alignment horizontal="center" vertical="center"/>
    </xf>
    <xf numFmtId="167" fontId="18" fillId="0" borderId="48" xfId="0" applyNumberFormat="1" applyFont="1" applyBorder="1" applyAlignment="1">
      <alignment horizontal="right" vertical="center"/>
    </xf>
    <xf numFmtId="0" fontId="9" fillId="0" borderId="49" xfId="0" applyFont="1" applyBorder="1" applyAlignment="1">
      <alignment horizontal="center" vertical="center"/>
    </xf>
    <xf numFmtId="1" fontId="18" fillId="0" borderId="48" xfId="0" applyNumberFormat="1" applyFont="1" applyBorder="1" applyAlignment="1">
      <alignment horizontal="center" vertical="center"/>
    </xf>
    <xf numFmtId="0" fontId="9" fillId="4" borderId="50" xfId="0" applyFont="1" applyFill="1" applyBorder="1" applyAlignment="1">
      <alignment horizontal="center" vertical="center"/>
    </xf>
    <xf numFmtId="167" fontId="18" fillId="4" borderId="53" xfId="0" applyNumberFormat="1" applyFont="1" applyFill="1" applyBorder="1" applyAlignment="1">
      <alignment vertical="center"/>
    </xf>
    <xf numFmtId="0" fontId="19" fillId="8" borderId="30" xfId="0" applyFont="1" applyFill="1" applyBorder="1" applyAlignment="1">
      <alignment horizontal="center" vertical="center" wrapText="1"/>
    </xf>
    <xf numFmtId="4" fontId="17" fillId="0" borderId="30" xfId="0" applyNumberFormat="1" applyFont="1" applyBorder="1" applyAlignment="1">
      <alignment vertical="center"/>
    </xf>
    <xf numFmtId="0" fontId="18" fillId="0" borderId="30" xfId="0" applyFont="1" applyBorder="1" applyAlignment="1">
      <alignment horizontal="center" vertical="center" wrapText="1"/>
    </xf>
    <xf numFmtId="10" fontId="17" fillId="0" borderId="30" xfId="0" applyNumberFormat="1" applyFont="1" applyBorder="1" applyAlignment="1">
      <alignment horizontal="right" vertical="center" wrapText="1"/>
    </xf>
    <xf numFmtId="10" fontId="17" fillId="0" borderId="30" xfId="0" applyNumberFormat="1" applyFont="1" applyBorder="1" applyAlignment="1">
      <alignment vertical="center"/>
    </xf>
    <xf numFmtId="4" fontId="19" fillId="8" borderId="30" xfId="0" applyNumberFormat="1" applyFont="1" applyFill="1" applyBorder="1" applyAlignment="1">
      <alignment vertical="center"/>
    </xf>
    <xf numFmtId="0" fontId="19" fillId="0" borderId="30" xfId="0" applyFont="1" applyBorder="1" applyAlignment="1">
      <alignment horizontal="center" vertical="center"/>
    </xf>
    <xf numFmtId="0" fontId="19" fillId="0" borderId="30" xfId="0" applyFont="1" applyBorder="1" applyAlignment="1">
      <alignment horizontal="center" vertical="center" wrapText="1"/>
    </xf>
    <xf numFmtId="0" fontId="17" fillId="0" borderId="30" xfId="0" applyFont="1" applyBorder="1" applyAlignment="1">
      <alignment horizontal="center" vertical="center"/>
    </xf>
    <xf numFmtId="10" fontId="17" fillId="0" borderId="30" xfId="0" applyNumberFormat="1" applyFont="1" applyBorder="1" applyAlignment="1">
      <alignment horizontal="center" vertical="center"/>
    </xf>
    <xf numFmtId="2" fontId="17" fillId="0" borderId="30" xfId="0" applyNumberFormat="1" applyFont="1" applyBorder="1" applyAlignment="1">
      <alignment horizontal="right" vertical="center"/>
    </xf>
    <xf numFmtId="169" fontId="17" fillId="0" borderId="30" xfId="0" applyNumberFormat="1" applyFont="1" applyBorder="1" applyAlignment="1">
      <alignment horizontal="center" vertical="center"/>
    </xf>
    <xf numFmtId="0" fontId="17" fillId="0" borderId="30" xfId="0" applyFont="1" applyBorder="1" applyAlignment="1">
      <alignment horizontal="center"/>
    </xf>
    <xf numFmtId="4" fontId="17" fillId="0" borderId="30" xfId="0" applyNumberFormat="1" applyFont="1" applyBorder="1" applyAlignment="1">
      <alignment horizontal="right"/>
    </xf>
    <xf numFmtId="4" fontId="17" fillId="8" borderId="30" xfId="0" applyNumberFormat="1" applyFont="1" applyFill="1" applyBorder="1" applyAlignment="1">
      <alignment horizontal="right" vertical="center"/>
    </xf>
    <xf numFmtId="0" fontId="19" fillId="8" borderId="30" xfId="0" applyFont="1" applyFill="1" applyBorder="1" applyAlignment="1">
      <alignment horizontal="center" vertical="center"/>
    </xf>
    <xf numFmtId="10" fontId="17" fillId="0" borderId="30" xfId="0" applyNumberFormat="1" applyFont="1" applyBorder="1" applyAlignment="1">
      <alignment horizontal="right" vertical="center"/>
    </xf>
    <xf numFmtId="4" fontId="17" fillId="0" borderId="30" xfId="0" applyNumberFormat="1" applyFont="1" applyBorder="1" applyAlignment="1">
      <alignment horizontal="right" vertical="center"/>
    </xf>
    <xf numFmtId="0" fontId="17" fillId="0" borderId="30" xfId="0" applyFont="1" applyBorder="1" applyAlignment="1">
      <alignment horizontal="right" vertical="center" wrapText="1"/>
    </xf>
    <xf numFmtId="9" fontId="17" fillId="0" borderId="30" xfId="0" applyNumberFormat="1" applyFont="1" applyBorder="1" applyAlignment="1">
      <alignment horizontal="left" vertical="center" wrapText="1"/>
    </xf>
    <xf numFmtId="170" fontId="17" fillId="0" borderId="30" xfId="0" applyNumberFormat="1" applyFont="1" applyBorder="1" applyAlignment="1">
      <alignment horizontal="left" vertical="center" wrapText="1"/>
    </xf>
    <xf numFmtId="171" fontId="17" fillId="0" borderId="30" xfId="0" applyNumberFormat="1" applyFont="1" applyBorder="1" applyAlignment="1">
      <alignment horizontal="right" vertical="center"/>
    </xf>
    <xf numFmtId="171" fontId="17" fillId="8" borderId="30" xfId="0" applyNumberFormat="1" applyFont="1" applyFill="1" applyBorder="1" applyAlignment="1">
      <alignment horizontal="right" vertical="center"/>
    </xf>
    <xf numFmtId="172" fontId="25" fillId="0" borderId="30" xfId="0" applyNumberFormat="1" applyFont="1" applyBorder="1" applyAlignment="1">
      <alignment vertical="center"/>
    </xf>
    <xf numFmtId="4" fontId="17" fillId="0" borderId="30" xfId="0" applyNumberFormat="1" applyFont="1" applyBorder="1" applyAlignment="1">
      <alignment horizontal="center" vertical="center"/>
    </xf>
    <xf numFmtId="4" fontId="25" fillId="0" borderId="30" xfId="0" applyNumberFormat="1" applyFont="1" applyBorder="1" applyAlignment="1">
      <alignment vertical="center"/>
    </xf>
    <xf numFmtId="3" fontId="25" fillId="0" borderId="30" xfId="0" applyNumberFormat="1" applyFont="1" applyBorder="1" applyAlignment="1">
      <alignment vertical="center"/>
    </xf>
    <xf numFmtId="9" fontId="25" fillId="0" borderId="30" xfId="0" applyNumberFormat="1" applyFont="1" applyBorder="1" applyAlignment="1">
      <alignment vertical="center"/>
    </xf>
    <xf numFmtId="0" fontId="26" fillId="0" borderId="30" xfId="0" applyFont="1" applyBorder="1" applyAlignment="1">
      <alignment horizontal="center" vertical="center"/>
    </xf>
    <xf numFmtId="9" fontId="25" fillId="0" borderId="15" xfId="0" applyNumberFormat="1" applyFont="1" applyBorder="1" applyAlignment="1">
      <alignment vertical="center"/>
    </xf>
    <xf numFmtId="2" fontId="17" fillId="0" borderId="30" xfId="0" applyNumberFormat="1" applyFont="1" applyBorder="1" applyAlignment="1">
      <alignment horizontal="right" vertical="center" wrapText="1"/>
    </xf>
    <xf numFmtId="2" fontId="17" fillId="8" borderId="30" xfId="0" applyNumberFormat="1" applyFont="1" applyFill="1" applyBorder="1" applyAlignment="1">
      <alignment horizontal="right" vertical="center" wrapText="1"/>
    </xf>
    <xf numFmtId="10" fontId="27" fillId="0" borderId="30" xfId="0" applyNumberFormat="1" applyFont="1" applyBorder="1" applyAlignment="1">
      <alignment horizontal="center" vertical="center" wrapText="1"/>
    </xf>
    <xf numFmtId="4" fontId="19" fillId="0" borderId="30" xfId="0" applyNumberFormat="1" applyFont="1" applyBorder="1" applyAlignment="1">
      <alignment horizontal="right" vertical="center" wrapText="1"/>
    </xf>
    <xf numFmtId="0" fontId="19" fillId="8" borderId="30" xfId="0" applyFont="1" applyFill="1" applyBorder="1" applyAlignment="1">
      <alignment horizontal="center"/>
    </xf>
    <xf numFmtId="4" fontId="17" fillId="0" borderId="30" xfId="0" applyNumberFormat="1" applyFont="1" applyBorder="1"/>
    <xf numFmtId="0" fontId="24" fillId="0" borderId="30" xfId="0" applyFont="1" applyBorder="1" applyAlignment="1">
      <alignment horizontal="center"/>
    </xf>
    <xf numFmtId="4" fontId="17" fillId="8" borderId="30" xfId="0" applyNumberFormat="1" applyFont="1" applyFill="1" applyBorder="1" applyAlignment="1">
      <alignment horizontal="right"/>
    </xf>
    <xf numFmtId="4" fontId="19" fillId="8" borderId="30" xfId="0" applyNumberFormat="1" applyFont="1" applyFill="1" applyBorder="1" applyAlignment="1">
      <alignment horizontal="center" vertical="center"/>
    </xf>
    <xf numFmtId="4" fontId="17" fillId="0" borderId="30" xfId="0" applyNumberFormat="1" applyFont="1" applyBorder="1" applyAlignment="1">
      <alignment horizontal="right" vertical="center" wrapText="1"/>
    </xf>
    <xf numFmtId="4" fontId="17" fillId="8" borderId="30" xfId="0" applyNumberFormat="1" applyFont="1" applyFill="1" applyBorder="1" applyAlignment="1">
      <alignment horizontal="right" vertical="center" wrapText="1"/>
    </xf>
    <xf numFmtId="4" fontId="19" fillId="8" borderId="30" xfId="0" applyNumberFormat="1" applyFont="1" applyFill="1" applyBorder="1" applyAlignment="1">
      <alignment horizontal="center" vertical="center" wrapText="1"/>
    </xf>
    <xf numFmtId="0" fontId="18" fillId="0" borderId="30" xfId="0" applyFont="1" applyBorder="1" applyAlignment="1">
      <alignment horizontal="center" vertical="center"/>
    </xf>
    <xf numFmtId="4" fontId="18" fillId="0" borderId="30" xfId="0" applyNumberFormat="1" applyFont="1" applyBorder="1" applyAlignment="1">
      <alignment horizontal="right" vertical="center"/>
    </xf>
    <xf numFmtId="0" fontId="29" fillId="0" borderId="30" xfId="0" applyFont="1" applyBorder="1" applyAlignment="1">
      <alignment horizontal="center" vertical="center"/>
    </xf>
    <xf numFmtId="10" fontId="18" fillId="0" borderId="30" xfId="0" applyNumberFormat="1" applyFont="1" applyBorder="1" applyAlignment="1">
      <alignment horizontal="center" vertical="center"/>
    </xf>
    <xf numFmtId="10" fontId="17" fillId="0" borderId="30" xfId="0" applyNumberFormat="1" applyFont="1" applyBorder="1" applyAlignment="1">
      <alignment horizontal="center" vertical="center" wrapText="1"/>
    </xf>
    <xf numFmtId="10" fontId="18" fillId="0" borderId="30" xfId="0" applyNumberFormat="1" applyFont="1" applyBorder="1" applyAlignment="1">
      <alignment horizontal="right" vertical="center"/>
    </xf>
    <xf numFmtId="0" fontId="17" fillId="8" borderId="30" xfId="0" applyFont="1" applyFill="1" applyBorder="1" applyAlignment="1">
      <alignment horizontal="center" vertical="center" wrapText="1"/>
    </xf>
    <xf numFmtId="49" fontId="17" fillId="0" borderId="30" xfId="0" applyNumberFormat="1" applyFont="1" applyBorder="1" applyAlignment="1">
      <alignment horizontal="center" vertical="center" wrapText="1"/>
    </xf>
    <xf numFmtId="165" fontId="30" fillId="0" borderId="0" xfId="0" applyNumberFormat="1" applyFont="1"/>
    <xf numFmtId="0" fontId="30" fillId="0" borderId="0" xfId="0" applyFont="1" applyAlignment="1">
      <alignment horizontal="center" vertical="center"/>
    </xf>
    <xf numFmtId="165" fontId="30" fillId="0" borderId="0" xfId="0" applyNumberFormat="1" applyFont="1" applyAlignment="1">
      <alignment horizontal="center"/>
    </xf>
    <xf numFmtId="172" fontId="25" fillId="11" borderId="30" xfId="0" applyNumberFormat="1" applyFont="1" applyFill="1" applyBorder="1" applyAlignment="1">
      <alignment vertical="center"/>
    </xf>
    <xf numFmtId="0" fontId="17" fillId="12" borderId="30" xfId="0" applyFont="1" applyFill="1" applyBorder="1" applyAlignment="1">
      <alignment horizontal="center" vertical="center"/>
    </xf>
    <xf numFmtId="4" fontId="17" fillId="12" borderId="30" xfId="0" applyNumberFormat="1" applyFont="1" applyFill="1" applyBorder="1" applyAlignment="1">
      <alignment horizontal="right" vertical="center"/>
    </xf>
    <xf numFmtId="4" fontId="17" fillId="12" borderId="30" xfId="0" applyNumberFormat="1" applyFont="1" applyFill="1" applyBorder="1" applyAlignment="1">
      <alignment horizontal="right" vertical="center" wrapText="1"/>
    </xf>
    <xf numFmtId="4" fontId="12" fillId="3" borderId="1" xfId="0" applyNumberFormat="1" applyFont="1" applyFill="1" applyBorder="1" applyAlignment="1">
      <alignment horizontal="right"/>
    </xf>
    <xf numFmtId="0" fontId="4" fillId="0" borderId="3" xfId="0" applyFont="1" applyBorder="1"/>
    <xf numFmtId="164" fontId="12" fillId="3" borderId="1" xfId="0" applyNumberFormat="1" applyFont="1" applyFill="1" applyBorder="1" applyAlignment="1">
      <alignment horizontal="right"/>
    </xf>
    <xf numFmtId="4" fontId="11" fillId="3" borderId="1" xfId="0" applyNumberFormat="1" applyFont="1" applyFill="1" applyBorder="1" applyAlignment="1">
      <alignment horizontal="right"/>
    </xf>
    <xf numFmtId="164" fontId="11" fillId="3" borderId="1" xfId="0" applyNumberFormat="1" applyFont="1" applyFill="1" applyBorder="1" applyAlignment="1">
      <alignment horizontal="right"/>
    </xf>
    <xf numFmtId="4" fontId="2" fillId="3" borderId="1" xfId="0" applyNumberFormat="1" applyFont="1" applyFill="1" applyBorder="1" applyAlignment="1">
      <alignment horizontal="right"/>
    </xf>
    <xf numFmtId="4" fontId="5" fillId="3" borderId="1" xfId="0" applyNumberFormat="1" applyFont="1" applyFill="1" applyBorder="1" applyAlignment="1">
      <alignment horizontal="right"/>
    </xf>
    <xf numFmtId="0" fontId="5" fillId="3" borderId="0" xfId="0" applyFont="1" applyFill="1" applyAlignment="1">
      <alignment horizontal="center"/>
    </xf>
    <xf numFmtId="0" fontId="0" fillId="0" borderId="0" xfId="0"/>
    <xf numFmtId="0" fontId="11" fillId="0" borderId="0" xfId="0" applyFont="1" applyAlignment="1">
      <alignment horizontal="left"/>
    </xf>
    <xf numFmtId="0" fontId="1" fillId="2" borderId="0" xfId="0" applyFont="1" applyFill="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1" fillId="2" borderId="1" xfId="0" applyFont="1" applyFill="1" applyBorder="1" applyAlignment="1">
      <alignment horizontal="center" vertical="center" wrapText="1"/>
    </xf>
    <xf numFmtId="0" fontId="4" fillId="0" borderId="2" xfId="0" applyFont="1" applyBorder="1"/>
    <xf numFmtId="0" fontId="7" fillId="3" borderId="6" xfId="0" applyFont="1" applyFill="1" applyBorder="1" applyAlignment="1">
      <alignment horizontal="right" wrapText="1"/>
    </xf>
    <xf numFmtId="0" fontId="4" fillId="0" borderId="7" xfId="0" applyFont="1" applyBorder="1"/>
    <xf numFmtId="0" fontId="4" fillId="0" borderId="5" xfId="0" applyFont="1" applyBorder="1"/>
    <xf numFmtId="0" fontId="1" fillId="2" borderId="1" xfId="0" applyFont="1" applyFill="1" applyBorder="1" applyAlignment="1">
      <alignment horizontal="center" wrapText="1"/>
    </xf>
    <xf numFmtId="0" fontId="7" fillId="3" borderId="1" xfId="0" applyFont="1" applyFill="1" applyBorder="1" applyAlignment="1">
      <alignment horizontal="right" wrapText="1"/>
    </xf>
    <xf numFmtId="0" fontId="7" fillId="3" borderId="6" xfId="0" applyFont="1" applyFill="1" applyBorder="1" applyAlignment="1">
      <alignment horizontal="right"/>
    </xf>
    <xf numFmtId="0" fontId="3" fillId="3" borderId="1" xfId="0" applyFont="1" applyFill="1" applyBorder="1" applyAlignment="1">
      <alignment horizontal="center"/>
    </xf>
    <xf numFmtId="0" fontId="14" fillId="6" borderId="9" xfId="0" applyFont="1" applyFill="1" applyBorder="1" applyAlignment="1">
      <alignment horizontal="center" vertical="center" wrapText="1"/>
    </xf>
    <xf numFmtId="0" fontId="4" fillId="0" borderId="10" xfId="0" applyFont="1" applyBorder="1"/>
    <xf numFmtId="0" fontId="4" fillId="0" borderId="11" xfId="0" applyFont="1" applyBorder="1"/>
    <xf numFmtId="0" fontId="15" fillId="0" borderId="9" xfId="0" applyFont="1" applyBorder="1" applyAlignment="1">
      <alignment horizontal="center" vertical="center" wrapText="1"/>
    </xf>
    <xf numFmtId="0" fontId="16" fillId="0" borderId="12" xfId="0" applyFont="1" applyBorder="1" applyAlignment="1">
      <alignment horizontal="center" vertical="center" wrapText="1"/>
    </xf>
    <xf numFmtId="0" fontId="4" fillId="0" borderId="13" xfId="0" applyFont="1" applyBorder="1"/>
    <xf numFmtId="0" fontId="4" fillId="0" borderId="14" xfId="0" applyFont="1" applyBorder="1"/>
    <xf numFmtId="0" fontId="17" fillId="0" borderId="12" xfId="0" applyFont="1" applyBorder="1" applyAlignment="1">
      <alignment horizontal="left" vertical="center" wrapText="1"/>
    </xf>
    <xf numFmtId="0" fontId="4" fillId="0" borderId="15" xfId="0" applyFont="1" applyBorder="1"/>
    <xf numFmtId="0" fontId="18" fillId="0" borderId="16" xfId="0" applyFont="1" applyBorder="1" applyAlignment="1">
      <alignment horizontal="center" vertical="center" wrapText="1"/>
    </xf>
    <xf numFmtId="0" fontId="17" fillId="0" borderId="17" xfId="0" applyFont="1" applyBorder="1" applyAlignment="1">
      <alignment horizontal="left" vertical="center" wrapText="1"/>
    </xf>
    <xf numFmtId="0" fontId="4" fillId="0" borderId="18" xfId="0" applyFont="1" applyBorder="1"/>
    <xf numFmtId="0" fontId="4" fillId="0" borderId="19" xfId="0" applyFont="1" applyBorder="1"/>
    <xf numFmtId="0" fontId="19" fillId="7" borderId="20" xfId="0" applyFont="1" applyFill="1" applyBorder="1" applyAlignment="1">
      <alignment horizontal="center" vertical="center" wrapText="1"/>
    </xf>
    <xf numFmtId="0" fontId="4" fillId="0" borderId="21" xfId="0" applyFont="1" applyBorder="1"/>
    <xf numFmtId="0" fontId="4" fillId="0" borderId="22" xfId="0" applyFont="1" applyBorder="1"/>
    <xf numFmtId="0" fontId="17" fillId="0" borderId="25" xfId="0" applyFont="1" applyBorder="1" applyAlignment="1">
      <alignment horizontal="left" vertical="center" wrapText="1"/>
    </xf>
    <xf numFmtId="0" fontId="4" fillId="0" borderId="26" xfId="0" applyFont="1" applyBorder="1"/>
    <xf numFmtId="0" fontId="4" fillId="0" borderId="27" xfId="0" applyFont="1" applyBorder="1"/>
    <xf numFmtId="14" fontId="18" fillId="0" borderId="25" xfId="0" applyNumberFormat="1" applyFont="1" applyBorder="1" applyAlignment="1">
      <alignment horizontal="center" vertical="center" wrapText="1"/>
    </xf>
    <xf numFmtId="0" fontId="4" fillId="0" borderId="28" xfId="0" applyFont="1" applyBorder="1"/>
    <xf numFmtId="0" fontId="17" fillId="0" borderId="16" xfId="0" applyFont="1" applyBorder="1" applyAlignment="1">
      <alignment horizontal="left" vertical="center" wrapText="1"/>
    </xf>
    <xf numFmtId="14" fontId="18" fillId="0" borderId="16" xfId="0" applyNumberFormat="1" applyFont="1" applyBorder="1" applyAlignment="1">
      <alignment horizontal="center" vertical="center" wrapText="1"/>
    </xf>
    <xf numFmtId="0" fontId="17" fillId="0" borderId="46" xfId="0" applyFont="1" applyBorder="1" applyAlignment="1">
      <alignment horizontal="left" vertical="center"/>
    </xf>
    <xf numFmtId="0" fontId="4" fillId="0" borderId="47" xfId="0" applyFont="1" applyBorder="1"/>
    <xf numFmtId="0" fontId="17" fillId="4" borderId="51" xfId="0" applyFont="1" applyFill="1" applyBorder="1" applyAlignment="1">
      <alignment horizontal="left" vertical="center"/>
    </xf>
    <xf numFmtId="0" fontId="4" fillId="0" borderId="52" xfId="0" applyFont="1" applyBorder="1"/>
    <xf numFmtId="0" fontId="15" fillId="7" borderId="9" xfId="0" applyFont="1" applyFill="1" applyBorder="1" applyAlignment="1">
      <alignment horizontal="center" vertical="center" wrapText="1"/>
    </xf>
    <xf numFmtId="0" fontId="17" fillId="0" borderId="20" xfId="0" applyFont="1" applyBorder="1" applyAlignment="1">
      <alignment horizontal="center" vertical="center"/>
    </xf>
    <xf numFmtId="0" fontId="15" fillId="7" borderId="20" xfId="0" applyFont="1" applyFill="1" applyBorder="1" applyAlignment="1">
      <alignment horizontal="center" vertical="center" wrapText="1"/>
    </xf>
    <xf numFmtId="0" fontId="17" fillId="0" borderId="44" xfId="0" applyFont="1" applyBorder="1" applyAlignment="1">
      <alignment horizontal="left" vertical="center"/>
    </xf>
    <xf numFmtId="0" fontId="4" fillId="0" borderId="32" xfId="0" applyFont="1" applyBorder="1"/>
    <xf numFmtId="0" fontId="4" fillId="0" borderId="40" xfId="0" applyFont="1" applyBorder="1"/>
    <xf numFmtId="0" fontId="17" fillId="10" borderId="16" xfId="0" applyFont="1" applyFill="1" applyBorder="1" applyAlignment="1">
      <alignment horizontal="center" vertical="center"/>
    </xf>
    <xf numFmtId="0" fontId="19" fillId="0" borderId="16" xfId="0" applyFont="1" applyBorder="1" applyAlignment="1">
      <alignment horizontal="left" vertical="center" wrapText="1"/>
    </xf>
    <xf numFmtId="0" fontId="19" fillId="8" borderId="16" xfId="0" applyFont="1" applyFill="1" applyBorder="1" applyAlignment="1">
      <alignment horizontal="left" vertical="center"/>
    </xf>
    <xf numFmtId="0" fontId="19" fillId="0" borderId="16" xfId="0" applyFont="1" applyBorder="1" applyAlignment="1">
      <alignment horizontal="left" vertical="center"/>
    </xf>
    <xf numFmtId="0" fontId="18" fillId="0" borderId="16" xfId="0" applyFont="1" applyBorder="1" applyAlignment="1">
      <alignment horizontal="left" vertical="center" wrapText="1"/>
    </xf>
    <xf numFmtId="0" fontId="24" fillId="0" borderId="16" xfId="0" applyFont="1" applyBorder="1" applyAlignment="1">
      <alignment horizontal="right" vertical="center"/>
    </xf>
    <xf numFmtId="0" fontId="17" fillId="0" borderId="16" xfId="0" applyFont="1" applyBorder="1" applyAlignment="1">
      <alignment horizontal="left" vertical="center"/>
    </xf>
    <xf numFmtId="0" fontId="17" fillId="8" borderId="16" xfId="0" applyFont="1" applyFill="1" applyBorder="1" applyAlignment="1">
      <alignment horizontal="right" vertical="center"/>
    </xf>
    <xf numFmtId="0" fontId="19" fillId="8" borderId="16" xfId="0" applyFont="1" applyFill="1" applyBorder="1" applyAlignment="1">
      <alignment horizontal="center" vertical="center"/>
    </xf>
    <xf numFmtId="0" fontId="20" fillId="6" borderId="16" xfId="0" applyFont="1" applyFill="1" applyBorder="1" applyAlignment="1">
      <alignment horizontal="center" vertical="center" wrapText="1"/>
    </xf>
    <xf numFmtId="0" fontId="21" fillId="0" borderId="16" xfId="0" applyFont="1" applyBorder="1" applyAlignment="1">
      <alignment horizontal="center" vertical="center" wrapText="1"/>
    </xf>
    <xf numFmtId="0" fontId="16" fillId="0" borderId="16" xfId="0" applyFont="1" applyBorder="1" applyAlignment="1">
      <alignment horizontal="center" vertical="center" wrapText="1"/>
    </xf>
    <xf numFmtId="0" fontId="19" fillId="8" borderId="16" xfId="0" applyFont="1" applyFill="1" applyBorder="1" applyAlignment="1">
      <alignment horizontal="left" vertical="center" wrapText="1"/>
    </xf>
    <xf numFmtId="0" fontId="18" fillId="9" borderId="16" xfId="0" applyFont="1" applyFill="1" applyBorder="1" applyAlignment="1">
      <alignment horizontal="center" vertical="center" wrapText="1"/>
    </xf>
    <xf numFmtId="0" fontId="22" fillId="0" borderId="16" xfId="0" applyFont="1" applyBorder="1" applyAlignment="1">
      <alignment horizontal="left" vertical="center" wrapText="1"/>
    </xf>
    <xf numFmtId="0" fontId="19" fillId="8" borderId="16" xfId="0" applyFont="1" applyFill="1" applyBorder="1" applyAlignment="1">
      <alignment horizontal="center" vertical="center" wrapText="1"/>
    </xf>
    <xf numFmtId="0" fontId="23" fillId="0" borderId="16" xfId="0" applyFont="1" applyBorder="1" applyAlignment="1">
      <alignment horizontal="right" vertical="center" wrapText="1"/>
    </xf>
    <xf numFmtId="168" fontId="23" fillId="0" borderId="16" xfId="0" applyNumberFormat="1" applyFont="1" applyBorder="1" applyAlignment="1">
      <alignment horizontal="right" vertical="center" wrapText="1"/>
    </xf>
    <xf numFmtId="0" fontId="17" fillId="8" borderId="16" xfId="0" applyFont="1" applyFill="1" applyBorder="1" applyAlignment="1">
      <alignment horizontal="right" vertical="center" wrapText="1"/>
    </xf>
    <xf numFmtId="0" fontId="18" fillId="0" borderId="16" xfId="0" applyFont="1" applyBorder="1" applyAlignment="1">
      <alignment horizontal="left" vertical="center"/>
    </xf>
    <xf numFmtId="0" fontId="28" fillId="0" borderId="16" xfId="0" applyFont="1" applyBorder="1" applyAlignment="1">
      <alignment horizontal="left" vertical="center" wrapText="1"/>
    </xf>
    <xf numFmtId="0" fontId="24" fillId="0" borderId="16" xfId="0" applyFont="1" applyBorder="1" applyAlignment="1">
      <alignment horizontal="left" vertical="center" wrapText="1"/>
    </xf>
    <xf numFmtId="0" fontId="24" fillId="0" borderId="16" xfId="0" applyFont="1" applyBorder="1" applyAlignment="1">
      <alignment horizontal="left" vertical="center"/>
    </xf>
    <xf numFmtId="0" fontId="17" fillId="0" borderId="16" xfId="0" applyFont="1" applyBorder="1" applyAlignment="1">
      <alignment horizontal="right" vertical="center"/>
    </xf>
    <xf numFmtId="49" fontId="17" fillId="8" borderId="16" xfId="0" applyNumberFormat="1" applyFont="1" applyFill="1" applyBorder="1" applyAlignment="1">
      <alignment horizontal="center" vertical="center" wrapText="1"/>
    </xf>
    <xf numFmtId="0" fontId="9" fillId="0" borderId="18" xfId="0" applyFont="1" applyBorder="1" applyAlignment="1">
      <alignment horizontal="left"/>
    </xf>
    <xf numFmtId="0" fontId="9" fillId="0" borderId="18" xfId="0" applyFont="1" applyBorder="1" applyAlignment="1">
      <alignment horizontal="center"/>
    </xf>
    <xf numFmtId="0" fontId="17" fillId="6" borderId="16" xfId="0" applyFont="1" applyFill="1" applyBorder="1" applyAlignment="1">
      <alignment horizontal="center" vertical="center"/>
    </xf>
    <xf numFmtId="49" fontId="17" fillId="0" borderId="16" xfId="0" applyNumberFormat="1" applyFont="1" applyBorder="1" applyAlignment="1">
      <alignment horizontal="left" vertical="center" wrapText="1"/>
    </xf>
    <xf numFmtId="49" fontId="17" fillId="8" borderId="16" xfId="0" applyNumberFormat="1" applyFont="1" applyFill="1" applyBorder="1" applyAlignment="1">
      <alignment horizontal="right" vertical="center" wrapText="1"/>
    </xf>
    <xf numFmtId="0" fontId="17" fillId="0" borderId="18" xfId="0" applyFont="1" applyBorder="1" applyAlignment="1">
      <alignment horizontal="center" wrapText="1"/>
    </xf>
    <xf numFmtId="0" fontId="17" fillId="8" borderId="16" xfId="0" applyFont="1" applyFill="1" applyBorder="1" applyAlignment="1">
      <alignment horizontal="center" vertical="center"/>
    </xf>
    <xf numFmtId="0" fontId="29" fillId="0" borderId="16" xfId="0" applyFont="1" applyBorder="1" applyAlignment="1">
      <alignment horizontal="left" vertical="center"/>
    </xf>
    <xf numFmtId="0" fontId="25" fillId="0" borderId="16" xfId="0" applyFont="1" applyBorder="1" applyAlignment="1">
      <alignment horizontal="left" vertical="center"/>
    </xf>
    <xf numFmtId="0" fontId="18" fillId="0" borderId="16" xfId="0" applyFont="1" applyBorder="1" applyAlignment="1">
      <alignment horizontal="right" vertical="center" wrapText="1"/>
    </xf>
    <xf numFmtId="4" fontId="18" fillId="0" borderId="54" xfId="0" applyNumberFormat="1" applyFont="1" applyBorder="1" applyAlignment="1">
      <alignment horizontal="center" vertical="center"/>
    </xf>
    <xf numFmtId="0" fontId="4" fillId="0" borderId="55" xfId="0" applyFont="1" applyBorder="1"/>
    <xf numFmtId="0" fontId="4" fillId="0" borderId="46" xfId="0" applyFont="1" applyBorder="1"/>
    <xf numFmtId="0" fontId="4" fillId="0" borderId="25" xfId="0" applyFont="1" applyBorder="1"/>
    <xf numFmtId="49" fontId="29" fillId="0" borderId="16" xfId="0" applyNumberFormat="1" applyFont="1" applyBorder="1" applyAlignment="1">
      <alignment horizontal="left" vertical="center" wrapText="1"/>
    </xf>
    <xf numFmtId="49" fontId="17" fillId="8" borderId="16" xfId="0" applyNumberFormat="1" applyFont="1" applyFill="1" applyBorder="1" applyAlignment="1">
      <alignment horizontal="left" vertical="center" wrapText="1"/>
    </xf>
    <xf numFmtId="173" fontId="23" fillId="0" borderId="16" xfId="0" applyNumberFormat="1" applyFont="1" applyBorder="1" applyAlignment="1">
      <alignment horizontal="right" vertical="center" wrapText="1"/>
    </xf>
    <xf numFmtId="0" fontId="17" fillId="12" borderId="16"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H999"/>
  <sheetViews>
    <sheetView tabSelected="1" workbookViewId="0">
      <selection sqref="A1:H1"/>
    </sheetView>
  </sheetViews>
  <sheetFormatPr defaultColWidth="12.5703125" defaultRowHeight="15" customHeight="1" x14ac:dyDescent="0.2"/>
  <cols>
    <col min="1" max="1" width="4.7109375" customWidth="1"/>
    <col min="2" max="2" width="11.140625" customWidth="1"/>
    <col min="3" max="3" width="17.7109375" customWidth="1"/>
    <col min="4" max="4" width="14.28515625" customWidth="1"/>
    <col min="5" max="5" width="15.7109375" customWidth="1"/>
    <col min="6" max="6" width="14.28515625" customWidth="1"/>
    <col min="7" max="7" width="8.42578125" customWidth="1"/>
    <col min="8" max="8" width="16.85546875" customWidth="1"/>
    <col min="9" max="26" width="8" customWidth="1"/>
  </cols>
  <sheetData>
    <row r="1" spans="1:8" ht="18.75" customHeight="1" x14ac:dyDescent="0.2">
      <c r="A1" s="192" t="s">
        <v>177</v>
      </c>
      <c r="B1" s="193"/>
      <c r="C1" s="193"/>
      <c r="D1" s="193"/>
      <c r="E1" s="193"/>
      <c r="F1" s="193"/>
      <c r="G1" s="193"/>
      <c r="H1" s="194"/>
    </row>
    <row r="2" spans="1:8" ht="18" customHeight="1" x14ac:dyDescent="0.2">
      <c r="A2" s="195" t="s">
        <v>178</v>
      </c>
      <c r="B2" s="193"/>
      <c r="C2" s="193"/>
      <c r="D2" s="193"/>
      <c r="E2" s="193"/>
      <c r="F2" s="193"/>
      <c r="G2" s="193"/>
      <c r="H2" s="194"/>
    </row>
    <row r="3" spans="1:8" ht="23.25" customHeight="1" x14ac:dyDescent="0.2">
      <c r="A3" s="196" t="s">
        <v>179</v>
      </c>
      <c r="B3" s="197"/>
      <c r="C3" s="197"/>
      <c r="D3" s="197"/>
      <c r="E3" s="197"/>
      <c r="F3" s="197"/>
      <c r="G3" s="197"/>
      <c r="H3" s="198"/>
    </row>
    <row r="4" spans="1:8" ht="12.75" customHeight="1" x14ac:dyDescent="0.2">
      <c r="A4" s="199" t="s">
        <v>180</v>
      </c>
      <c r="B4" s="197"/>
      <c r="C4" s="197"/>
      <c r="D4" s="197"/>
      <c r="E4" s="197"/>
      <c r="F4" s="200"/>
      <c r="G4" s="201" t="s">
        <v>181</v>
      </c>
      <c r="H4" s="198"/>
    </row>
    <row r="5" spans="1:8" ht="12.75" customHeight="1" x14ac:dyDescent="0.2">
      <c r="A5" s="199" t="s">
        <v>182</v>
      </c>
      <c r="B5" s="197"/>
      <c r="C5" s="197"/>
      <c r="D5" s="197"/>
      <c r="E5" s="197"/>
      <c r="F5" s="200"/>
      <c r="G5" s="201"/>
      <c r="H5" s="198"/>
    </row>
    <row r="6" spans="1:8" ht="13.5" customHeight="1" x14ac:dyDescent="0.2">
      <c r="A6" s="202" t="s">
        <v>183</v>
      </c>
      <c r="B6" s="203"/>
      <c r="C6" s="203"/>
      <c r="D6" s="203"/>
      <c r="E6" s="203"/>
      <c r="F6" s="203"/>
      <c r="G6" s="203"/>
      <c r="H6" s="204"/>
    </row>
    <row r="7" spans="1:8" ht="15.75" customHeight="1" x14ac:dyDescent="0.2">
      <c r="A7" s="205" t="s">
        <v>184</v>
      </c>
      <c r="B7" s="206"/>
      <c r="C7" s="206"/>
      <c r="D7" s="206"/>
      <c r="E7" s="206"/>
      <c r="F7" s="206"/>
      <c r="G7" s="206"/>
      <c r="H7" s="207"/>
    </row>
    <row r="8" spans="1:8" ht="12.75" customHeight="1" x14ac:dyDescent="0.2">
      <c r="A8" s="84" t="s">
        <v>185</v>
      </c>
      <c r="B8" s="85"/>
      <c r="C8" s="208" t="s">
        <v>186</v>
      </c>
      <c r="D8" s="209"/>
      <c r="E8" s="209"/>
      <c r="F8" s="210"/>
      <c r="G8" s="211"/>
      <c r="H8" s="212"/>
    </row>
    <row r="9" spans="1:8" ht="12.75" customHeight="1" x14ac:dyDescent="0.2">
      <c r="A9" s="86" t="s">
        <v>187</v>
      </c>
      <c r="B9" s="87"/>
      <c r="C9" s="213" t="s">
        <v>188</v>
      </c>
      <c r="D9" s="197"/>
      <c r="E9" s="197"/>
      <c r="F9" s="200"/>
      <c r="G9" s="214" t="s">
        <v>189</v>
      </c>
      <c r="H9" s="198"/>
    </row>
    <row r="10" spans="1:8" ht="12.75" customHeight="1" x14ac:dyDescent="0.2">
      <c r="A10" s="86" t="s">
        <v>190</v>
      </c>
      <c r="B10" s="87"/>
      <c r="C10" s="213" t="s">
        <v>191</v>
      </c>
      <c r="D10" s="197"/>
      <c r="E10" s="197"/>
      <c r="F10" s="200"/>
      <c r="G10" s="214"/>
      <c r="H10" s="198"/>
    </row>
    <row r="11" spans="1:8" ht="13.5" customHeight="1" x14ac:dyDescent="0.2">
      <c r="A11" s="86" t="s">
        <v>192</v>
      </c>
      <c r="B11" s="87"/>
      <c r="C11" s="213" t="s">
        <v>193</v>
      </c>
      <c r="D11" s="197"/>
      <c r="E11" s="197"/>
      <c r="F11" s="200"/>
      <c r="G11" s="201">
        <v>60</v>
      </c>
      <c r="H11" s="198"/>
    </row>
    <row r="12" spans="1:8" ht="18.75" customHeight="1" x14ac:dyDescent="0.2">
      <c r="A12" s="219" t="s">
        <v>194</v>
      </c>
      <c r="B12" s="193"/>
      <c r="C12" s="193"/>
      <c r="D12" s="193"/>
      <c r="E12" s="193"/>
      <c r="F12" s="193"/>
      <c r="G12" s="193"/>
      <c r="H12" s="194"/>
    </row>
    <row r="13" spans="1:8" ht="51" customHeight="1" x14ac:dyDescent="0.2">
      <c r="A13" s="88" t="s">
        <v>195</v>
      </c>
      <c r="B13" s="89" t="s">
        <v>196</v>
      </c>
      <c r="C13" s="89" t="s">
        <v>197</v>
      </c>
      <c r="D13" s="89" t="s">
        <v>198</v>
      </c>
      <c r="E13" s="89" t="s">
        <v>199</v>
      </c>
      <c r="F13" s="89" t="s">
        <v>200</v>
      </c>
      <c r="G13" s="89" t="s">
        <v>201</v>
      </c>
      <c r="H13" s="90" t="s">
        <v>202</v>
      </c>
    </row>
    <row r="14" spans="1:8" ht="15.75" customHeight="1" x14ac:dyDescent="0.2">
      <c r="A14" s="91" t="s">
        <v>203</v>
      </c>
      <c r="B14" s="92" t="s">
        <v>204</v>
      </c>
      <c r="C14" s="93" t="s">
        <v>205</v>
      </c>
      <c r="D14" s="94">
        <f>'Oficial de Manut. Pred. - Grava'!J148</f>
        <v>9409.3719166666669</v>
      </c>
      <c r="E14" s="95">
        <v>1</v>
      </c>
      <c r="F14" s="94">
        <f t="shared" ref="F14:F21" si="0">PRODUCT(D14:E14)</f>
        <v>9409.3719166666669</v>
      </c>
      <c r="G14" s="95">
        <v>1</v>
      </c>
      <c r="H14" s="96">
        <f t="shared" ref="H14:H21" si="1">PRODUCT(F14:G14)</f>
        <v>9409.3719166666669</v>
      </c>
    </row>
    <row r="15" spans="1:8" ht="15.75" customHeight="1" x14ac:dyDescent="0.2">
      <c r="A15" s="91" t="s">
        <v>206</v>
      </c>
      <c r="B15" s="92" t="s">
        <v>204</v>
      </c>
      <c r="C15" s="93" t="s">
        <v>207</v>
      </c>
      <c r="D15" s="94">
        <f>'Aux. Manut. Pred. - Gravataí'!J150</f>
        <v>2588.7716666666665</v>
      </c>
      <c r="E15" s="95">
        <v>1</v>
      </c>
      <c r="F15" s="94">
        <f t="shared" si="0"/>
        <v>2588.7716666666665</v>
      </c>
      <c r="G15" s="95">
        <v>1</v>
      </c>
      <c r="H15" s="96">
        <f t="shared" si="1"/>
        <v>2588.7716666666665</v>
      </c>
    </row>
    <row r="16" spans="1:8" ht="15.75" customHeight="1" x14ac:dyDescent="0.2">
      <c r="A16" s="91" t="s">
        <v>208</v>
      </c>
      <c r="B16" s="92" t="s">
        <v>204</v>
      </c>
      <c r="C16" s="93" t="s">
        <v>209</v>
      </c>
      <c r="D16" s="94">
        <f>'Jardinagem - Gravataí'!J150</f>
        <v>7425.6462499999998</v>
      </c>
      <c r="E16" s="95">
        <v>1</v>
      </c>
      <c r="F16" s="94">
        <f t="shared" si="0"/>
        <v>7425.6462499999998</v>
      </c>
      <c r="G16" s="95">
        <v>1</v>
      </c>
      <c r="H16" s="96">
        <f t="shared" si="1"/>
        <v>7425.6462499999998</v>
      </c>
    </row>
    <row r="17" spans="1:8" ht="15.75" customHeight="1" x14ac:dyDescent="0.2">
      <c r="A17" s="91" t="s">
        <v>210</v>
      </c>
      <c r="B17" s="92" t="s">
        <v>211</v>
      </c>
      <c r="C17" s="93" t="s">
        <v>205</v>
      </c>
      <c r="D17" s="94">
        <f>'Oficial de Manut. Pred. - Lajea'!J148</f>
        <v>6304.8687499999996</v>
      </c>
      <c r="E17" s="95">
        <v>1</v>
      </c>
      <c r="F17" s="94">
        <f t="shared" si="0"/>
        <v>6304.8687499999996</v>
      </c>
      <c r="G17" s="95">
        <v>1</v>
      </c>
      <c r="H17" s="96">
        <f t="shared" si="1"/>
        <v>6304.8687499999996</v>
      </c>
    </row>
    <row r="18" spans="1:8" ht="15.75" customHeight="1" x14ac:dyDescent="0.2">
      <c r="A18" s="91" t="s">
        <v>212</v>
      </c>
      <c r="B18" s="92" t="s">
        <v>211</v>
      </c>
      <c r="C18" s="93" t="s">
        <v>207</v>
      </c>
      <c r="D18" s="94">
        <f>'Aux. Manut. Pred. - Lajeado'!J150</f>
        <v>2595.1308333333336</v>
      </c>
      <c r="E18" s="95">
        <v>1</v>
      </c>
      <c r="F18" s="94">
        <f t="shared" si="0"/>
        <v>2595.1308333333336</v>
      </c>
      <c r="G18" s="95">
        <v>1</v>
      </c>
      <c r="H18" s="96">
        <f t="shared" si="1"/>
        <v>2595.1308333333336</v>
      </c>
    </row>
    <row r="19" spans="1:8" ht="15.75" customHeight="1" x14ac:dyDescent="0.2">
      <c r="A19" s="91" t="s">
        <v>213</v>
      </c>
      <c r="B19" s="92" t="s">
        <v>211</v>
      </c>
      <c r="C19" s="93" t="s">
        <v>209</v>
      </c>
      <c r="D19" s="94">
        <f>'Jardinagem - Lajeado'!J150</f>
        <v>3855.9945833333331</v>
      </c>
      <c r="E19" s="95">
        <v>1</v>
      </c>
      <c r="F19" s="94">
        <f t="shared" si="0"/>
        <v>3855.9945833333331</v>
      </c>
      <c r="G19" s="95">
        <v>1</v>
      </c>
      <c r="H19" s="96">
        <f t="shared" si="1"/>
        <v>3855.9945833333331</v>
      </c>
    </row>
    <row r="20" spans="1:8" ht="15.75" customHeight="1" x14ac:dyDescent="0.2">
      <c r="A20" s="91" t="s">
        <v>214</v>
      </c>
      <c r="B20" s="92" t="s">
        <v>215</v>
      </c>
      <c r="C20" s="93" t="s">
        <v>205</v>
      </c>
      <c r="D20" s="94">
        <f>'SG-Oficial de Manut. Pred'!J148</f>
        <v>5683.1530833333336</v>
      </c>
      <c r="E20" s="95">
        <v>1</v>
      </c>
      <c r="F20" s="94">
        <f t="shared" si="0"/>
        <v>5683.1530833333336</v>
      </c>
      <c r="G20" s="95">
        <v>1</v>
      </c>
      <c r="H20" s="96">
        <f t="shared" si="1"/>
        <v>5683.1530833333336</v>
      </c>
    </row>
    <row r="21" spans="1:8" ht="15.75" customHeight="1" x14ac:dyDescent="0.2">
      <c r="A21" s="97" t="s">
        <v>216</v>
      </c>
      <c r="B21" s="92" t="s">
        <v>215</v>
      </c>
      <c r="C21" s="98" t="s">
        <v>209</v>
      </c>
      <c r="D21" s="94">
        <f>'SG-Jardinagem'!J150</f>
        <v>3871.1620833333327</v>
      </c>
      <c r="E21" s="95">
        <v>1</v>
      </c>
      <c r="F21" s="94">
        <f t="shared" si="0"/>
        <v>3871.1620833333327</v>
      </c>
      <c r="G21" s="99">
        <v>1</v>
      </c>
      <c r="H21" s="96">
        <f t="shared" si="1"/>
        <v>3871.1620833333327</v>
      </c>
    </row>
    <row r="22" spans="1:8" ht="13.5" customHeight="1" x14ac:dyDescent="0.2">
      <c r="A22" s="220" t="s">
        <v>217</v>
      </c>
      <c r="B22" s="206"/>
      <c r="C22" s="206"/>
      <c r="D22" s="206"/>
      <c r="E22" s="206"/>
      <c r="F22" s="206"/>
      <c r="G22" s="207"/>
      <c r="H22" s="100">
        <f>SUM(H14:H21)</f>
        <v>41734.099166666667</v>
      </c>
    </row>
    <row r="23" spans="1:8" ht="13.5" customHeight="1" x14ac:dyDescent="0.2">
      <c r="A23" s="101"/>
      <c r="B23" s="102"/>
      <c r="C23" s="103"/>
      <c r="D23" s="103"/>
      <c r="E23" s="103"/>
      <c r="F23" s="103"/>
      <c r="G23" s="103"/>
      <c r="H23" s="104"/>
    </row>
    <row r="24" spans="1:8" ht="18.75" customHeight="1" x14ac:dyDescent="0.2">
      <c r="A24" s="221" t="s">
        <v>218</v>
      </c>
      <c r="B24" s="206"/>
      <c r="C24" s="206"/>
      <c r="D24" s="206"/>
      <c r="E24" s="206"/>
      <c r="F24" s="206"/>
      <c r="G24" s="206"/>
      <c r="H24" s="207"/>
    </row>
    <row r="25" spans="1:8" ht="12.75" customHeight="1" x14ac:dyDescent="0.2">
      <c r="A25" s="105" t="s">
        <v>185</v>
      </c>
      <c r="B25" s="222" t="s">
        <v>219</v>
      </c>
      <c r="C25" s="223"/>
      <c r="D25" s="223"/>
      <c r="E25" s="223"/>
      <c r="F25" s="223"/>
      <c r="G25" s="224"/>
      <c r="H25" s="106">
        <f>H22</f>
        <v>41734.099166666667</v>
      </c>
    </row>
    <row r="26" spans="1:8" ht="12.75" customHeight="1" x14ac:dyDescent="0.2">
      <c r="A26" s="107" t="s">
        <v>187</v>
      </c>
      <c r="B26" s="215" t="s">
        <v>220</v>
      </c>
      <c r="C26" s="178"/>
      <c r="D26" s="178"/>
      <c r="E26" s="178"/>
      <c r="F26" s="178"/>
      <c r="G26" s="216"/>
      <c r="H26" s="108">
        <f>H25*12</f>
        <v>500809.19</v>
      </c>
    </row>
    <row r="27" spans="1:8" ht="13.5" customHeight="1" x14ac:dyDescent="0.2">
      <c r="A27" s="109" t="s">
        <v>190</v>
      </c>
      <c r="B27" s="215" t="s">
        <v>221</v>
      </c>
      <c r="C27" s="178"/>
      <c r="D27" s="178"/>
      <c r="E27" s="178"/>
      <c r="F27" s="178"/>
      <c r="G27" s="216"/>
      <c r="H27" s="110">
        <f>G11</f>
        <v>60</v>
      </c>
    </row>
    <row r="28" spans="1:8" ht="13.5" customHeight="1" x14ac:dyDescent="0.2">
      <c r="A28" s="111" t="s">
        <v>192</v>
      </c>
      <c r="B28" s="217" t="s">
        <v>222</v>
      </c>
      <c r="C28" s="206"/>
      <c r="D28" s="206"/>
      <c r="E28" s="206"/>
      <c r="F28" s="206"/>
      <c r="G28" s="218"/>
      <c r="H28" s="112">
        <f>H25*H27</f>
        <v>2504045.9500000002</v>
      </c>
    </row>
    <row r="29" spans="1:8" ht="12.75" customHeight="1" x14ac:dyDescent="0.2"/>
    <row r="30" spans="1:8" ht="12.75" customHeight="1" x14ac:dyDescent="0.2"/>
    <row r="31" spans="1:8" ht="12.75" customHeight="1" x14ac:dyDescent="0.2"/>
    <row r="32" spans="1:8"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sheetData>
  <mergeCells count="24">
    <mergeCell ref="B28:G28"/>
    <mergeCell ref="C10:F10"/>
    <mergeCell ref="C11:F11"/>
    <mergeCell ref="G11:H11"/>
    <mergeCell ref="A12:H12"/>
    <mergeCell ref="A22:G22"/>
    <mergeCell ref="A24:H24"/>
    <mergeCell ref="B25:G25"/>
    <mergeCell ref="C9:F9"/>
    <mergeCell ref="G9:H9"/>
    <mergeCell ref="G10:H10"/>
    <mergeCell ref="B26:G26"/>
    <mergeCell ref="B27:G27"/>
    <mergeCell ref="A5:F5"/>
    <mergeCell ref="G5:H5"/>
    <mergeCell ref="A6:H6"/>
    <mergeCell ref="A7:H7"/>
    <mergeCell ref="C8:F8"/>
    <mergeCell ref="G8:H8"/>
    <mergeCell ref="A1:H1"/>
    <mergeCell ref="A2:H2"/>
    <mergeCell ref="A3:H3"/>
    <mergeCell ref="A4:F4"/>
    <mergeCell ref="G4:H4"/>
  </mergeCells>
  <pageMargins left="0.7" right="0.7" top="0.75" bottom="0.75" header="0" footer="0"/>
  <pageSetup orientation="portrait"/>
  <colBreaks count="2" manualBreakCount="2">
    <brk man="1"/>
    <brk id="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C00"/>
    <pageSetUpPr fitToPage="1"/>
  </sheetPr>
  <dimension ref="A1:K1000"/>
  <sheetViews>
    <sheetView workbookViewId="0">
      <selection sqref="A1:J1"/>
    </sheetView>
  </sheetViews>
  <sheetFormatPr defaultColWidth="12.5703125" defaultRowHeight="15" customHeight="1" x14ac:dyDescent="0.2"/>
  <cols>
    <col min="1" max="10" width="11.5703125" customWidth="1"/>
    <col min="11" max="11" width="11.42578125" customWidth="1"/>
    <col min="12" max="26" width="8" customWidth="1"/>
  </cols>
  <sheetData>
    <row r="1" spans="1:10" ht="23.25" customHeight="1" x14ac:dyDescent="0.2">
      <c r="A1" s="234" t="s">
        <v>421</v>
      </c>
      <c r="B1" s="197"/>
      <c r="C1" s="197"/>
      <c r="D1" s="197"/>
      <c r="E1" s="197"/>
      <c r="F1" s="197"/>
      <c r="G1" s="197"/>
      <c r="H1" s="197"/>
      <c r="I1" s="197"/>
      <c r="J1" s="200"/>
    </row>
    <row r="2" spans="1:10" ht="24" customHeight="1" x14ac:dyDescent="0.2">
      <c r="A2" s="235" t="s">
        <v>224</v>
      </c>
      <c r="B2" s="197"/>
      <c r="C2" s="197"/>
      <c r="D2" s="197"/>
      <c r="E2" s="197"/>
      <c r="F2" s="197"/>
      <c r="G2" s="197"/>
      <c r="H2" s="197"/>
      <c r="I2" s="197"/>
      <c r="J2" s="200"/>
    </row>
    <row r="3" spans="1:10" ht="46.5" customHeight="1" x14ac:dyDescent="0.2">
      <c r="A3" s="236" t="s">
        <v>422</v>
      </c>
      <c r="B3" s="197"/>
      <c r="C3" s="197"/>
      <c r="D3" s="197"/>
      <c r="E3" s="197"/>
      <c r="F3" s="197"/>
      <c r="G3" s="197"/>
      <c r="H3" s="197"/>
      <c r="I3" s="197"/>
      <c r="J3" s="200"/>
    </row>
    <row r="4" spans="1:10" ht="14.25" customHeight="1" x14ac:dyDescent="0.2">
      <c r="A4" s="213" t="s">
        <v>180</v>
      </c>
      <c r="B4" s="197"/>
      <c r="C4" s="197"/>
      <c r="D4" s="197"/>
      <c r="E4" s="197"/>
      <c r="F4" s="197"/>
      <c r="G4" s="200"/>
      <c r="H4" s="201" t="s">
        <v>226</v>
      </c>
      <c r="I4" s="197"/>
      <c r="J4" s="200"/>
    </row>
    <row r="5" spans="1:10" ht="14.25" customHeight="1" x14ac:dyDescent="0.2">
      <c r="A5" s="213" t="s">
        <v>182</v>
      </c>
      <c r="B5" s="197"/>
      <c r="C5" s="197"/>
      <c r="D5" s="197"/>
      <c r="E5" s="197"/>
      <c r="F5" s="197"/>
      <c r="G5" s="200"/>
      <c r="H5" s="201"/>
      <c r="I5" s="197"/>
      <c r="J5" s="200"/>
    </row>
    <row r="6" spans="1:10" ht="14.25" customHeight="1" x14ac:dyDescent="0.2">
      <c r="A6" s="213" t="s">
        <v>183</v>
      </c>
      <c r="B6" s="197"/>
      <c r="C6" s="197"/>
      <c r="D6" s="197"/>
      <c r="E6" s="197"/>
      <c r="F6" s="197"/>
      <c r="G6" s="197"/>
      <c r="H6" s="197"/>
      <c r="I6" s="197"/>
      <c r="J6" s="200"/>
    </row>
    <row r="7" spans="1:10" ht="15.75" customHeight="1" x14ac:dyDescent="0.2">
      <c r="A7" s="237" t="s">
        <v>184</v>
      </c>
      <c r="B7" s="197"/>
      <c r="C7" s="197"/>
      <c r="D7" s="197"/>
      <c r="E7" s="197"/>
      <c r="F7" s="197"/>
      <c r="G7" s="197"/>
      <c r="H7" s="197"/>
      <c r="I7" s="197"/>
      <c r="J7" s="200"/>
    </row>
    <row r="8" spans="1:10" ht="14.25" customHeight="1" x14ac:dyDescent="0.2">
      <c r="A8" s="87" t="s">
        <v>185</v>
      </c>
      <c r="B8" s="213" t="s">
        <v>186</v>
      </c>
      <c r="C8" s="197"/>
      <c r="D8" s="197"/>
      <c r="E8" s="197"/>
      <c r="F8" s="197"/>
      <c r="G8" s="200"/>
      <c r="H8" s="214"/>
      <c r="I8" s="197"/>
      <c r="J8" s="200"/>
    </row>
    <row r="9" spans="1:10" ht="14.25" customHeight="1" x14ac:dyDescent="0.2">
      <c r="A9" s="87" t="s">
        <v>187</v>
      </c>
      <c r="B9" s="213" t="s">
        <v>227</v>
      </c>
      <c r="C9" s="197"/>
      <c r="D9" s="197"/>
      <c r="E9" s="197"/>
      <c r="F9" s="197"/>
      <c r="G9" s="200"/>
      <c r="H9" s="201" t="s">
        <v>423</v>
      </c>
      <c r="I9" s="197"/>
      <c r="J9" s="200"/>
    </row>
    <row r="10" spans="1:10" ht="39" customHeight="1" x14ac:dyDescent="0.2">
      <c r="A10" s="87" t="s">
        <v>190</v>
      </c>
      <c r="B10" s="213" t="s">
        <v>229</v>
      </c>
      <c r="C10" s="197"/>
      <c r="D10" s="197"/>
      <c r="E10" s="197"/>
      <c r="F10" s="197"/>
      <c r="G10" s="200"/>
      <c r="H10" s="238" t="s">
        <v>424</v>
      </c>
      <c r="I10" s="197"/>
      <c r="J10" s="200"/>
    </row>
    <row r="11" spans="1:10" ht="30.75" customHeight="1" x14ac:dyDescent="0.2">
      <c r="A11" s="87" t="s">
        <v>192</v>
      </c>
      <c r="B11" s="213" t="s">
        <v>425</v>
      </c>
      <c r="C11" s="197"/>
      <c r="D11" s="197"/>
      <c r="E11" s="197"/>
      <c r="F11" s="197"/>
      <c r="G11" s="200"/>
      <c r="H11" s="201">
        <v>60</v>
      </c>
      <c r="I11" s="197"/>
      <c r="J11" s="200"/>
    </row>
    <row r="12" spans="1:10" ht="12.75" customHeight="1" x14ac:dyDescent="0.2">
      <c r="A12" s="225"/>
      <c r="B12" s="197"/>
      <c r="C12" s="197"/>
      <c r="D12" s="197"/>
      <c r="E12" s="197"/>
      <c r="F12" s="197"/>
      <c r="G12" s="197"/>
      <c r="H12" s="197"/>
      <c r="I12" s="197"/>
      <c r="J12" s="200"/>
    </row>
    <row r="13" spans="1:10" ht="48.75" customHeight="1" x14ac:dyDescent="0.2">
      <c r="A13" s="239" t="s">
        <v>426</v>
      </c>
      <c r="B13" s="197"/>
      <c r="C13" s="197"/>
      <c r="D13" s="197"/>
      <c r="E13" s="197"/>
      <c r="F13" s="197"/>
      <c r="G13" s="197"/>
      <c r="H13" s="197"/>
      <c r="I13" s="197"/>
      <c r="J13" s="200"/>
    </row>
    <row r="14" spans="1:10" ht="12.75" customHeight="1" x14ac:dyDescent="0.2">
      <c r="A14" s="225"/>
      <c r="B14" s="197"/>
      <c r="C14" s="197"/>
      <c r="D14" s="197"/>
      <c r="E14" s="197"/>
      <c r="F14" s="197"/>
      <c r="G14" s="197"/>
      <c r="H14" s="197"/>
      <c r="I14" s="197"/>
      <c r="J14" s="200"/>
    </row>
    <row r="15" spans="1:10" ht="15.75" customHeight="1" x14ac:dyDescent="0.2">
      <c r="A15" s="240" t="s">
        <v>233</v>
      </c>
      <c r="B15" s="197"/>
      <c r="C15" s="197"/>
      <c r="D15" s="197"/>
      <c r="E15" s="197"/>
      <c r="F15" s="197"/>
      <c r="G15" s="197"/>
      <c r="H15" s="197"/>
      <c r="I15" s="197"/>
      <c r="J15" s="200"/>
    </row>
    <row r="16" spans="1:10" ht="15.75" customHeight="1" x14ac:dyDescent="0.2">
      <c r="A16" s="87">
        <v>1</v>
      </c>
      <c r="B16" s="213" t="s">
        <v>234</v>
      </c>
      <c r="C16" s="197"/>
      <c r="D16" s="197"/>
      <c r="E16" s="197"/>
      <c r="F16" s="197"/>
      <c r="G16" s="200"/>
      <c r="H16" s="241" t="s">
        <v>235</v>
      </c>
      <c r="I16" s="197"/>
      <c r="J16" s="200"/>
    </row>
    <row r="17" spans="1:11" ht="15.75" customHeight="1" x14ac:dyDescent="0.2">
      <c r="A17" s="87">
        <v>2</v>
      </c>
      <c r="B17" s="213" t="s">
        <v>236</v>
      </c>
      <c r="C17" s="197"/>
      <c r="D17" s="197"/>
      <c r="E17" s="197"/>
      <c r="F17" s="197"/>
      <c r="G17" s="200"/>
      <c r="H17" s="241" t="s">
        <v>237</v>
      </c>
      <c r="I17" s="197"/>
      <c r="J17" s="200"/>
    </row>
    <row r="18" spans="1:11" ht="15.75" customHeight="1" x14ac:dyDescent="0.2">
      <c r="A18" s="87">
        <v>3</v>
      </c>
      <c r="B18" s="213" t="s">
        <v>238</v>
      </c>
      <c r="C18" s="197"/>
      <c r="D18" s="197"/>
      <c r="E18" s="197"/>
      <c r="F18" s="197"/>
      <c r="G18" s="200"/>
      <c r="H18" s="242">
        <v>2228.6</v>
      </c>
      <c r="I18" s="197"/>
      <c r="J18" s="200"/>
    </row>
    <row r="19" spans="1:11" ht="15.75" customHeight="1" x14ac:dyDescent="0.2">
      <c r="A19" s="87">
        <v>4</v>
      </c>
      <c r="B19" s="213" t="s">
        <v>239</v>
      </c>
      <c r="C19" s="197"/>
      <c r="D19" s="197"/>
      <c r="E19" s="197"/>
      <c r="F19" s="197"/>
      <c r="G19" s="200"/>
      <c r="H19" s="241" t="s">
        <v>156</v>
      </c>
      <c r="I19" s="197"/>
      <c r="J19" s="200"/>
    </row>
    <row r="20" spans="1:11" ht="15.75" customHeight="1" x14ac:dyDescent="0.2">
      <c r="A20" s="87">
        <v>5</v>
      </c>
      <c r="B20" s="213" t="s">
        <v>240</v>
      </c>
      <c r="C20" s="197"/>
      <c r="D20" s="197"/>
      <c r="E20" s="197"/>
      <c r="F20" s="197"/>
      <c r="G20" s="200"/>
      <c r="H20" s="241" t="s">
        <v>427</v>
      </c>
      <c r="I20" s="197"/>
      <c r="J20" s="200"/>
    </row>
    <row r="21" spans="1:11" ht="12.75" customHeight="1" x14ac:dyDescent="0.2">
      <c r="A21" s="225"/>
      <c r="B21" s="197"/>
      <c r="C21" s="197"/>
      <c r="D21" s="197"/>
      <c r="E21" s="197"/>
      <c r="F21" s="197"/>
      <c r="G21" s="197"/>
      <c r="H21" s="197"/>
      <c r="I21" s="197"/>
      <c r="J21" s="200"/>
    </row>
    <row r="22" spans="1:11" ht="20.25" customHeight="1" x14ac:dyDescent="0.2">
      <c r="A22" s="239" t="s">
        <v>242</v>
      </c>
      <c r="B22" s="197"/>
      <c r="C22" s="197"/>
      <c r="D22" s="197"/>
      <c r="E22" s="197"/>
      <c r="F22" s="197"/>
      <c r="G22" s="197"/>
      <c r="H22" s="197"/>
      <c r="I22" s="197"/>
      <c r="J22" s="200"/>
    </row>
    <row r="23" spans="1:11" ht="30" customHeight="1" x14ac:dyDescent="0.2">
      <c r="A23" s="113">
        <v>1</v>
      </c>
      <c r="B23" s="240" t="s">
        <v>243</v>
      </c>
      <c r="C23" s="197"/>
      <c r="D23" s="197"/>
      <c r="E23" s="197"/>
      <c r="F23" s="197"/>
      <c r="G23" s="200"/>
      <c r="H23" s="240" t="s">
        <v>244</v>
      </c>
      <c r="I23" s="200"/>
      <c r="J23" s="113" t="s">
        <v>245</v>
      </c>
    </row>
    <row r="24" spans="1:11" ht="12.75" customHeight="1" x14ac:dyDescent="0.2">
      <c r="A24" s="87" t="s">
        <v>185</v>
      </c>
      <c r="B24" s="213" t="s">
        <v>428</v>
      </c>
      <c r="C24" s="197"/>
      <c r="D24" s="197"/>
      <c r="E24" s="197"/>
      <c r="F24" s="197"/>
      <c r="G24" s="197"/>
      <c r="H24" s="197"/>
      <c r="I24" s="200"/>
      <c r="J24" s="114">
        <f>ROUND(((44/6)*30)*(H18/220),2)</f>
        <v>2228.6</v>
      </c>
      <c r="K24" s="163"/>
    </row>
    <row r="25" spans="1:11" ht="12.75" customHeight="1" x14ac:dyDescent="0.2">
      <c r="A25" s="115" t="s">
        <v>187</v>
      </c>
      <c r="B25" s="213" t="s">
        <v>247</v>
      </c>
      <c r="C25" s="197"/>
      <c r="D25" s="197"/>
      <c r="E25" s="197"/>
      <c r="F25" s="197"/>
      <c r="G25" s="197"/>
      <c r="H25" s="200"/>
      <c r="I25" s="116">
        <v>0.3</v>
      </c>
      <c r="J25" s="114">
        <f>ROUND(I25*J24,2)</f>
        <v>668.58</v>
      </c>
      <c r="K25" s="163"/>
    </row>
    <row r="26" spans="1:11" ht="12.75" customHeight="1" x14ac:dyDescent="0.2">
      <c r="A26" s="115" t="s">
        <v>190</v>
      </c>
      <c r="B26" s="213" t="s">
        <v>248</v>
      </c>
      <c r="C26" s="197"/>
      <c r="D26" s="197"/>
      <c r="E26" s="197"/>
      <c r="F26" s="197"/>
      <c r="G26" s="197"/>
      <c r="H26" s="197"/>
      <c r="I26" s="200"/>
      <c r="J26" s="114"/>
      <c r="K26" s="163"/>
    </row>
    <row r="27" spans="1:11" ht="12.75" customHeight="1" x14ac:dyDescent="0.2">
      <c r="A27" s="115" t="s">
        <v>192</v>
      </c>
      <c r="B27" s="213" t="s">
        <v>249</v>
      </c>
      <c r="C27" s="197"/>
      <c r="D27" s="197"/>
      <c r="E27" s="197"/>
      <c r="F27" s="197"/>
      <c r="G27" s="197"/>
      <c r="H27" s="197"/>
      <c r="I27" s="200"/>
      <c r="J27" s="114"/>
      <c r="K27" s="163"/>
    </row>
    <row r="28" spans="1:11" ht="12.75" customHeight="1" x14ac:dyDescent="0.2">
      <c r="A28" s="115" t="s">
        <v>250</v>
      </c>
      <c r="B28" s="213" t="s">
        <v>251</v>
      </c>
      <c r="C28" s="197"/>
      <c r="D28" s="197"/>
      <c r="E28" s="197"/>
      <c r="F28" s="197"/>
      <c r="G28" s="197"/>
      <c r="H28" s="197"/>
      <c r="I28" s="200"/>
      <c r="J28" s="114"/>
      <c r="K28" s="163"/>
    </row>
    <row r="29" spans="1:11" ht="12.75" customHeight="1" x14ac:dyDescent="0.2">
      <c r="A29" s="87" t="s">
        <v>187</v>
      </c>
      <c r="B29" s="213" t="s">
        <v>252</v>
      </c>
      <c r="C29" s="197"/>
      <c r="D29" s="197"/>
      <c r="E29" s="197"/>
      <c r="F29" s="197"/>
      <c r="G29" s="197"/>
      <c r="H29" s="200"/>
      <c r="I29" s="117">
        <v>0</v>
      </c>
      <c r="J29" s="114">
        <f>ROUND(I29*J24,2)</f>
        <v>0</v>
      </c>
      <c r="K29" s="163"/>
    </row>
    <row r="30" spans="1:11" ht="15.75" customHeight="1" x14ac:dyDescent="0.2">
      <c r="A30" s="243" t="s">
        <v>253</v>
      </c>
      <c r="B30" s="197"/>
      <c r="C30" s="197"/>
      <c r="D30" s="197"/>
      <c r="E30" s="197"/>
      <c r="F30" s="197"/>
      <c r="G30" s="197"/>
      <c r="H30" s="197"/>
      <c r="I30" s="200"/>
      <c r="J30" s="118">
        <f>SUM(J24:J29)</f>
        <v>2897.18</v>
      </c>
      <c r="K30" s="163"/>
    </row>
    <row r="31" spans="1:11" ht="12.75" customHeight="1" x14ac:dyDescent="0.2">
      <c r="A31" s="225"/>
      <c r="B31" s="197"/>
      <c r="C31" s="197"/>
      <c r="D31" s="197"/>
      <c r="E31" s="197"/>
      <c r="F31" s="197"/>
      <c r="G31" s="197"/>
      <c r="H31" s="197"/>
      <c r="I31" s="197"/>
      <c r="J31" s="200"/>
      <c r="K31" s="163"/>
    </row>
    <row r="32" spans="1:11" ht="15.75" customHeight="1" x14ac:dyDescent="0.2">
      <c r="A32" s="226" t="s">
        <v>254</v>
      </c>
      <c r="B32" s="197"/>
      <c r="C32" s="197"/>
      <c r="D32" s="197"/>
      <c r="E32" s="197"/>
      <c r="F32" s="197"/>
      <c r="G32" s="197"/>
      <c r="H32" s="197"/>
      <c r="I32" s="197"/>
      <c r="J32" s="200"/>
      <c r="K32" s="163"/>
    </row>
    <row r="33" spans="1:11" ht="15" customHeight="1" x14ac:dyDescent="0.2">
      <c r="A33" s="227" t="s">
        <v>429</v>
      </c>
      <c r="B33" s="197"/>
      <c r="C33" s="197"/>
      <c r="D33" s="197"/>
      <c r="E33" s="197"/>
      <c r="F33" s="197"/>
      <c r="G33" s="197"/>
      <c r="H33" s="197"/>
      <c r="I33" s="197"/>
      <c r="J33" s="200"/>
      <c r="K33" s="163"/>
    </row>
    <row r="34" spans="1:11" ht="15" customHeight="1" x14ac:dyDescent="0.2">
      <c r="A34" s="119" t="s">
        <v>256</v>
      </c>
      <c r="B34" s="228" t="s">
        <v>430</v>
      </c>
      <c r="C34" s="197"/>
      <c r="D34" s="197"/>
      <c r="E34" s="197"/>
      <c r="F34" s="197"/>
      <c r="G34" s="197"/>
      <c r="H34" s="197"/>
      <c r="I34" s="200"/>
      <c r="J34" s="120" t="s">
        <v>258</v>
      </c>
      <c r="K34" s="163"/>
    </row>
    <row r="35" spans="1:11" ht="27" customHeight="1" x14ac:dyDescent="0.2">
      <c r="A35" s="121" t="s">
        <v>185</v>
      </c>
      <c r="B35" s="213" t="s">
        <v>431</v>
      </c>
      <c r="C35" s="197"/>
      <c r="D35" s="197"/>
      <c r="E35" s="197"/>
      <c r="F35" s="197"/>
      <c r="G35" s="197"/>
      <c r="H35" s="200"/>
      <c r="I35" s="122">
        <v>8.3299999999999999E-2</v>
      </c>
      <c r="J35" s="123">
        <f t="shared" ref="J35:J36" si="0">ROUND($J$30*I35,2)</f>
        <v>241.34</v>
      </c>
      <c r="K35" s="165"/>
    </row>
    <row r="36" spans="1:11" ht="36" customHeight="1" x14ac:dyDescent="0.2">
      <c r="A36" s="121" t="s">
        <v>187</v>
      </c>
      <c r="B36" s="229" t="s">
        <v>432</v>
      </c>
      <c r="C36" s="197"/>
      <c r="D36" s="197"/>
      <c r="E36" s="197"/>
      <c r="F36" s="197"/>
      <c r="G36" s="197"/>
      <c r="H36" s="200"/>
      <c r="I36" s="124">
        <v>3.0249999999999999E-2</v>
      </c>
      <c r="J36" s="123">
        <f t="shared" si="0"/>
        <v>87.64</v>
      </c>
      <c r="K36" s="165"/>
    </row>
    <row r="37" spans="1:11" ht="12.75" customHeight="1" x14ac:dyDescent="0.2">
      <c r="A37" s="230" t="s">
        <v>261</v>
      </c>
      <c r="B37" s="197"/>
      <c r="C37" s="197"/>
      <c r="D37" s="197"/>
      <c r="E37" s="197"/>
      <c r="F37" s="197"/>
      <c r="G37" s="197"/>
      <c r="H37" s="197"/>
      <c r="I37" s="200"/>
      <c r="J37" s="123">
        <f>SUM(J35+J36)</f>
        <v>328.98</v>
      </c>
      <c r="K37" s="165"/>
    </row>
    <row r="38" spans="1:11" ht="12.75" customHeight="1" x14ac:dyDescent="0.2">
      <c r="A38" s="125" t="s">
        <v>190</v>
      </c>
      <c r="B38" s="231" t="s">
        <v>262</v>
      </c>
      <c r="C38" s="197"/>
      <c r="D38" s="197"/>
      <c r="E38" s="197"/>
      <c r="F38" s="197"/>
      <c r="G38" s="197"/>
      <c r="H38" s="197"/>
      <c r="I38" s="200"/>
      <c r="J38" s="126">
        <f>ROUND(I51*J37,2)</f>
        <v>121.06</v>
      </c>
      <c r="K38" s="165"/>
    </row>
    <row r="39" spans="1:11" ht="12.75" customHeight="1" x14ac:dyDescent="0.2">
      <c r="A39" s="232" t="s">
        <v>261</v>
      </c>
      <c r="B39" s="197"/>
      <c r="C39" s="197"/>
      <c r="D39" s="197"/>
      <c r="E39" s="197"/>
      <c r="F39" s="197"/>
      <c r="G39" s="197"/>
      <c r="H39" s="197"/>
      <c r="I39" s="200"/>
      <c r="J39" s="127">
        <f>J37+J38</f>
        <v>450.04</v>
      </c>
      <c r="K39" s="165"/>
    </row>
    <row r="40" spans="1:11" ht="12.75" customHeight="1" x14ac:dyDescent="0.2">
      <c r="A40" s="225"/>
      <c r="B40" s="197"/>
      <c r="C40" s="197"/>
      <c r="D40" s="197"/>
      <c r="E40" s="197"/>
      <c r="F40" s="197"/>
      <c r="G40" s="197"/>
      <c r="H40" s="197"/>
      <c r="I40" s="197"/>
      <c r="J40" s="200"/>
      <c r="K40" s="163"/>
    </row>
    <row r="41" spans="1:11" ht="30" customHeight="1" x14ac:dyDescent="0.2">
      <c r="A41" s="226" t="s">
        <v>263</v>
      </c>
      <c r="B41" s="197"/>
      <c r="C41" s="197"/>
      <c r="D41" s="197"/>
      <c r="E41" s="197"/>
      <c r="F41" s="197"/>
      <c r="G41" s="197"/>
      <c r="H41" s="197"/>
      <c r="I41" s="197"/>
      <c r="J41" s="200"/>
    </row>
    <row r="42" spans="1:11" ht="30" customHeight="1" x14ac:dyDescent="0.2">
      <c r="A42" s="128" t="s">
        <v>264</v>
      </c>
      <c r="B42" s="233" t="s">
        <v>265</v>
      </c>
      <c r="C42" s="197"/>
      <c r="D42" s="197"/>
      <c r="E42" s="197"/>
      <c r="F42" s="197"/>
      <c r="G42" s="197"/>
      <c r="H42" s="200"/>
      <c r="I42" s="113" t="s">
        <v>266</v>
      </c>
      <c r="J42" s="113" t="s">
        <v>267</v>
      </c>
    </row>
    <row r="43" spans="1:11" ht="12.75" customHeight="1" x14ac:dyDescent="0.2">
      <c r="A43" s="121" t="s">
        <v>185</v>
      </c>
      <c r="B43" s="231" t="s">
        <v>268</v>
      </c>
      <c r="C43" s="197"/>
      <c r="D43" s="197"/>
      <c r="E43" s="197"/>
      <c r="F43" s="197"/>
      <c r="G43" s="197"/>
      <c r="H43" s="200"/>
      <c r="I43" s="129">
        <v>0.2</v>
      </c>
      <c r="J43" s="130">
        <f t="shared" ref="J43:J50" si="1">ROUND($J$30*I43,2)</f>
        <v>579.44000000000005</v>
      </c>
    </row>
    <row r="44" spans="1:11" ht="12.75" customHeight="1" x14ac:dyDescent="0.2">
      <c r="A44" s="121" t="s">
        <v>187</v>
      </c>
      <c r="B44" s="231" t="s">
        <v>269</v>
      </c>
      <c r="C44" s="197"/>
      <c r="D44" s="197"/>
      <c r="E44" s="197"/>
      <c r="F44" s="197"/>
      <c r="G44" s="197"/>
      <c r="H44" s="200"/>
      <c r="I44" s="129">
        <v>2.5000000000000001E-2</v>
      </c>
      <c r="J44" s="130">
        <f t="shared" si="1"/>
        <v>72.430000000000007</v>
      </c>
    </row>
    <row r="45" spans="1:11" ht="12.75" customHeight="1" x14ac:dyDescent="0.2">
      <c r="A45" s="121" t="s">
        <v>190</v>
      </c>
      <c r="B45" s="231" t="s">
        <v>270</v>
      </c>
      <c r="C45" s="197"/>
      <c r="D45" s="200"/>
      <c r="E45" s="131" t="s">
        <v>271</v>
      </c>
      <c r="F45" s="132">
        <v>0.03</v>
      </c>
      <c r="G45" s="131" t="s">
        <v>272</v>
      </c>
      <c r="H45" s="133">
        <v>1</v>
      </c>
      <c r="I45" s="134">
        <f>ROUND((F45*H45),6)</f>
        <v>0.03</v>
      </c>
      <c r="J45" s="130">
        <f t="shared" si="1"/>
        <v>86.92</v>
      </c>
    </row>
    <row r="46" spans="1:11" ht="12.75" customHeight="1" x14ac:dyDescent="0.2">
      <c r="A46" s="121" t="s">
        <v>192</v>
      </c>
      <c r="B46" s="231" t="s">
        <v>273</v>
      </c>
      <c r="C46" s="197"/>
      <c r="D46" s="197"/>
      <c r="E46" s="197"/>
      <c r="F46" s="197"/>
      <c r="G46" s="197"/>
      <c r="H46" s="200"/>
      <c r="I46" s="129">
        <v>1.4999999999999999E-2</v>
      </c>
      <c r="J46" s="130">
        <f t="shared" si="1"/>
        <v>43.46</v>
      </c>
    </row>
    <row r="47" spans="1:11" ht="12.75" customHeight="1" x14ac:dyDescent="0.2">
      <c r="A47" s="121" t="s">
        <v>250</v>
      </c>
      <c r="B47" s="231" t="s">
        <v>274</v>
      </c>
      <c r="C47" s="197"/>
      <c r="D47" s="197"/>
      <c r="E47" s="197"/>
      <c r="F47" s="197"/>
      <c r="G47" s="197"/>
      <c r="H47" s="200"/>
      <c r="I47" s="129">
        <v>0.01</v>
      </c>
      <c r="J47" s="130">
        <f t="shared" si="1"/>
        <v>28.97</v>
      </c>
    </row>
    <row r="48" spans="1:11" ht="12.75" customHeight="1" x14ac:dyDescent="0.2">
      <c r="A48" s="121" t="s">
        <v>275</v>
      </c>
      <c r="B48" s="231" t="s">
        <v>276</v>
      </c>
      <c r="C48" s="197"/>
      <c r="D48" s="197"/>
      <c r="E48" s="197"/>
      <c r="F48" s="197"/>
      <c r="G48" s="197"/>
      <c r="H48" s="200"/>
      <c r="I48" s="129">
        <v>6.0000000000000001E-3</v>
      </c>
      <c r="J48" s="130">
        <f t="shared" si="1"/>
        <v>17.38</v>
      </c>
    </row>
    <row r="49" spans="1:10" ht="12.75" customHeight="1" x14ac:dyDescent="0.2">
      <c r="A49" s="121" t="s">
        <v>277</v>
      </c>
      <c r="B49" s="231" t="s">
        <v>278</v>
      </c>
      <c r="C49" s="197"/>
      <c r="D49" s="197"/>
      <c r="E49" s="197"/>
      <c r="F49" s="197"/>
      <c r="G49" s="197"/>
      <c r="H49" s="200"/>
      <c r="I49" s="129">
        <v>2E-3</v>
      </c>
      <c r="J49" s="130">
        <f t="shared" si="1"/>
        <v>5.79</v>
      </c>
    </row>
    <row r="50" spans="1:10" ht="12.75" customHeight="1" x14ac:dyDescent="0.2">
      <c r="A50" s="121" t="s">
        <v>279</v>
      </c>
      <c r="B50" s="231" t="s">
        <v>280</v>
      </c>
      <c r="C50" s="197"/>
      <c r="D50" s="197"/>
      <c r="E50" s="197"/>
      <c r="F50" s="197"/>
      <c r="G50" s="197"/>
      <c r="H50" s="200"/>
      <c r="I50" s="129">
        <v>0.08</v>
      </c>
      <c r="J50" s="130">
        <f t="shared" si="1"/>
        <v>231.77</v>
      </c>
    </row>
    <row r="51" spans="1:10" ht="12.75" customHeight="1" x14ac:dyDescent="0.2">
      <c r="A51" s="232" t="s">
        <v>261</v>
      </c>
      <c r="B51" s="197"/>
      <c r="C51" s="197"/>
      <c r="D51" s="197"/>
      <c r="E51" s="197"/>
      <c r="F51" s="197"/>
      <c r="G51" s="197"/>
      <c r="H51" s="200"/>
      <c r="I51" s="135">
        <f t="shared" ref="I51:J51" si="2">SUM(I43:I50)</f>
        <v>0.36800000000000005</v>
      </c>
      <c r="J51" s="127">
        <f t="shared" si="2"/>
        <v>1066.1600000000001</v>
      </c>
    </row>
    <row r="52" spans="1:10" ht="12.75" customHeight="1" x14ac:dyDescent="0.2">
      <c r="A52" s="225"/>
      <c r="B52" s="197"/>
      <c r="C52" s="197"/>
      <c r="D52" s="197"/>
      <c r="E52" s="197"/>
      <c r="F52" s="197"/>
      <c r="G52" s="197"/>
      <c r="H52" s="197"/>
      <c r="I52" s="197"/>
      <c r="J52" s="200"/>
    </row>
    <row r="53" spans="1:10" ht="15.75" customHeight="1" x14ac:dyDescent="0.2">
      <c r="A53" s="226" t="s">
        <v>281</v>
      </c>
      <c r="B53" s="197"/>
      <c r="C53" s="197"/>
      <c r="D53" s="197"/>
      <c r="E53" s="197"/>
      <c r="F53" s="197"/>
      <c r="G53" s="197"/>
      <c r="H53" s="197"/>
      <c r="I53" s="197"/>
      <c r="J53" s="200"/>
    </row>
    <row r="54" spans="1:10" ht="15.75" customHeight="1" x14ac:dyDescent="0.2">
      <c r="A54" s="128" t="s">
        <v>282</v>
      </c>
      <c r="B54" s="233" t="s">
        <v>283</v>
      </c>
      <c r="C54" s="197"/>
      <c r="D54" s="197"/>
      <c r="E54" s="197"/>
      <c r="F54" s="197"/>
      <c r="G54" s="197"/>
      <c r="H54" s="197"/>
      <c r="I54" s="200"/>
      <c r="J54" s="113" t="s">
        <v>258</v>
      </c>
    </row>
    <row r="55" spans="1:10" ht="12.75" customHeight="1" x14ac:dyDescent="0.2">
      <c r="A55" s="121" t="s">
        <v>185</v>
      </c>
      <c r="B55" s="231" t="s">
        <v>433</v>
      </c>
      <c r="C55" s="197"/>
      <c r="D55" s="197"/>
      <c r="E55" s="197"/>
      <c r="F55" s="197"/>
      <c r="G55" s="197"/>
      <c r="H55" s="197"/>
      <c r="I55" s="200"/>
      <c r="J55" s="130">
        <f>IF(ROUND((I58*I56*I57)-(J24*I59),2)&lt;0,0,ROUND((I58*I56*I57)-(J24*I59),2))</f>
        <v>131.13999999999999</v>
      </c>
    </row>
    <row r="56" spans="1:10" ht="12.75" customHeight="1" x14ac:dyDescent="0.2">
      <c r="A56" s="121"/>
      <c r="B56" s="244" t="s">
        <v>285</v>
      </c>
      <c r="C56" s="197"/>
      <c r="D56" s="197"/>
      <c r="E56" s="197"/>
      <c r="F56" s="197"/>
      <c r="G56" s="197"/>
      <c r="H56" s="200"/>
      <c r="I56" s="136">
        <v>4.5</v>
      </c>
      <c r="J56" s="137" t="s">
        <v>286</v>
      </c>
    </row>
    <row r="57" spans="1:10" ht="12.75" customHeight="1" x14ac:dyDescent="0.2">
      <c r="A57" s="121"/>
      <c r="B57" s="244" t="s">
        <v>287</v>
      </c>
      <c r="C57" s="197"/>
      <c r="D57" s="197"/>
      <c r="E57" s="197"/>
      <c r="F57" s="197"/>
      <c r="G57" s="197"/>
      <c r="H57" s="200"/>
      <c r="I57" s="138">
        <v>2</v>
      </c>
      <c r="J57" s="137"/>
    </row>
    <row r="58" spans="1:10" ht="12.75" customHeight="1" x14ac:dyDescent="0.2">
      <c r="A58" s="121"/>
      <c r="B58" s="244" t="s">
        <v>288</v>
      </c>
      <c r="C58" s="197"/>
      <c r="D58" s="197"/>
      <c r="E58" s="197"/>
      <c r="F58" s="197"/>
      <c r="G58" s="197"/>
      <c r="H58" s="200"/>
      <c r="I58" s="139">
        <v>22</v>
      </c>
      <c r="J58" s="137"/>
    </row>
    <row r="59" spans="1:10" ht="12.75" customHeight="1" x14ac:dyDescent="0.2">
      <c r="A59" s="121"/>
      <c r="B59" s="244" t="s">
        <v>289</v>
      </c>
      <c r="C59" s="197"/>
      <c r="D59" s="197"/>
      <c r="E59" s="197"/>
      <c r="F59" s="197"/>
      <c r="G59" s="197"/>
      <c r="H59" s="200"/>
      <c r="I59" s="140">
        <v>0.03</v>
      </c>
      <c r="J59" s="137"/>
    </row>
    <row r="60" spans="1:10" ht="12.75" customHeight="1" x14ac:dyDescent="0.2">
      <c r="A60" s="121" t="s">
        <v>187</v>
      </c>
      <c r="B60" s="231" t="s">
        <v>290</v>
      </c>
      <c r="C60" s="197"/>
      <c r="D60" s="197"/>
      <c r="E60" s="197"/>
      <c r="F60" s="197"/>
      <c r="G60" s="197"/>
      <c r="H60" s="197"/>
      <c r="I60" s="200"/>
      <c r="J60" s="130">
        <f>SUM(I61-(I61*I62))</f>
        <v>263.2</v>
      </c>
    </row>
    <row r="61" spans="1:10" ht="12.75" customHeight="1" x14ac:dyDescent="0.2">
      <c r="A61" s="121"/>
      <c r="B61" s="244" t="s">
        <v>291</v>
      </c>
      <c r="C61" s="197"/>
      <c r="D61" s="197"/>
      <c r="E61" s="197"/>
      <c r="F61" s="197"/>
      <c r="G61" s="197"/>
      <c r="H61" s="200"/>
      <c r="I61" s="136">
        <v>329</v>
      </c>
      <c r="J61" s="137" t="s">
        <v>286</v>
      </c>
    </row>
    <row r="62" spans="1:10" ht="12.75" customHeight="1" x14ac:dyDescent="0.2">
      <c r="A62" s="141"/>
      <c r="B62" s="244" t="s">
        <v>292</v>
      </c>
      <c r="C62" s="197"/>
      <c r="D62" s="197"/>
      <c r="E62" s="197"/>
      <c r="F62" s="197"/>
      <c r="G62" s="197"/>
      <c r="H62" s="200"/>
      <c r="I62" s="142">
        <v>0.2</v>
      </c>
      <c r="J62" s="137"/>
    </row>
    <row r="63" spans="1:10" ht="12.75" customHeight="1" x14ac:dyDescent="0.2">
      <c r="A63" s="121" t="s">
        <v>190</v>
      </c>
      <c r="B63" s="213" t="s">
        <v>293</v>
      </c>
      <c r="C63" s="197"/>
      <c r="D63" s="197"/>
      <c r="E63" s="197"/>
      <c r="F63" s="197"/>
      <c r="G63" s="197"/>
      <c r="H63" s="197"/>
      <c r="I63" s="200"/>
      <c r="J63" s="130">
        <v>19.420000000000002</v>
      </c>
    </row>
    <row r="64" spans="1:10" ht="12.75" customHeight="1" x14ac:dyDescent="0.2">
      <c r="A64" s="232" t="s">
        <v>253</v>
      </c>
      <c r="B64" s="197"/>
      <c r="C64" s="197"/>
      <c r="D64" s="197"/>
      <c r="E64" s="197"/>
      <c r="F64" s="197"/>
      <c r="G64" s="197"/>
      <c r="H64" s="197"/>
      <c r="I64" s="200"/>
      <c r="J64" s="127">
        <f>SUM(J55:J63)</f>
        <v>413.76</v>
      </c>
    </row>
    <row r="65" spans="1:11" ht="12.75" customHeight="1" x14ac:dyDescent="0.2">
      <c r="A65" s="225"/>
      <c r="B65" s="197"/>
      <c r="C65" s="197"/>
      <c r="D65" s="197"/>
      <c r="E65" s="197"/>
      <c r="F65" s="197"/>
      <c r="G65" s="197"/>
      <c r="H65" s="197"/>
      <c r="I65" s="197"/>
      <c r="J65" s="200"/>
    </row>
    <row r="66" spans="1:11" ht="15.75" customHeight="1" x14ac:dyDescent="0.2">
      <c r="A66" s="226" t="s">
        <v>294</v>
      </c>
      <c r="B66" s="197"/>
      <c r="C66" s="197"/>
      <c r="D66" s="197"/>
      <c r="E66" s="197"/>
      <c r="F66" s="197"/>
      <c r="G66" s="197"/>
      <c r="H66" s="197"/>
      <c r="I66" s="197"/>
      <c r="J66" s="200"/>
    </row>
    <row r="67" spans="1:11" ht="15.75" customHeight="1" x14ac:dyDescent="0.2">
      <c r="A67" s="113">
        <v>2</v>
      </c>
      <c r="B67" s="240" t="s">
        <v>295</v>
      </c>
      <c r="C67" s="197"/>
      <c r="D67" s="197"/>
      <c r="E67" s="197"/>
      <c r="F67" s="197"/>
      <c r="G67" s="197"/>
      <c r="H67" s="197"/>
      <c r="I67" s="200"/>
      <c r="J67" s="113" t="s">
        <v>258</v>
      </c>
    </row>
    <row r="68" spans="1:11" ht="14.25" customHeight="1" x14ac:dyDescent="0.2">
      <c r="A68" s="87" t="s">
        <v>256</v>
      </c>
      <c r="B68" s="87"/>
      <c r="C68" s="213" t="s">
        <v>434</v>
      </c>
      <c r="D68" s="197"/>
      <c r="E68" s="197"/>
      <c r="F68" s="197"/>
      <c r="G68" s="197"/>
      <c r="H68" s="197"/>
      <c r="I68" s="200"/>
      <c r="J68" s="143">
        <f>J39</f>
        <v>450.04</v>
      </c>
    </row>
    <row r="69" spans="1:11" ht="14.25" customHeight="1" x14ac:dyDescent="0.2">
      <c r="A69" s="87" t="s">
        <v>264</v>
      </c>
      <c r="B69" s="87"/>
      <c r="C69" s="213" t="s">
        <v>265</v>
      </c>
      <c r="D69" s="197"/>
      <c r="E69" s="197"/>
      <c r="F69" s="197"/>
      <c r="G69" s="197"/>
      <c r="H69" s="197"/>
      <c r="I69" s="200"/>
      <c r="J69" s="143">
        <f>J51</f>
        <v>1066.1600000000001</v>
      </c>
    </row>
    <row r="70" spans="1:11" ht="14.25" customHeight="1" x14ac:dyDescent="0.2">
      <c r="A70" s="87" t="s">
        <v>282</v>
      </c>
      <c r="B70" s="87"/>
      <c r="C70" s="213" t="s">
        <v>283</v>
      </c>
      <c r="D70" s="197"/>
      <c r="E70" s="197"/>
      <c r="F70" s="197"/>
      <c r="G70" s="197"/>
      <c r="H70" s="197"/>
      <c r="I70" s="200"/>
      <c r="J70" s="143">
        <f>J64</f>
        <v>413.76</v>
      </c>
      <c r="K70" s="163"/>
    </row>
    <row r="71" spans="1:11" ht="14.25" customHeight="1" x14ac:dyDescent="0.2">
      <c r="A71" s="243" t="s">
        <v>261</v>
      </c>
      <c r="B71" s="197"/>
      <c r="C71" s="197"/>
      <c r="D71" s="197"/>
      <c r="E71" s="197"/>
      <c r="F71" s="197"/>
      <c r="G71" s="197"/>
      <c r="H71" s="197"/>
      <c r="I71" s="200"/>
      <c r="J71" s="144">
        <f>SUM(J68+J69+J70)</f>
        <v>1929.96</v>
      </c>
    </row>
    <row r="72" spans="1:11" ht="12.75" customHeight="1" x14ac:dyDescent="0.2">
      <c r="A72" s="225"/>
      <c r="B72" s="197"/>
      <c r="C72" s="197"/>
      <c r="D72" s="197"/>
      <c r="E72" s="197"/>
      <c r="F72" s="197"/>
      <c r="G72" s="197"/>
      <c r="H72" s="197"/>
      <c r="I72" s="197"/>
      <c r="J72" s="200"/>
    </row>
    <row r="73" spans="1:11" ht="15.75" customHeight="1" x14ac:dyDescent="0.2">
      <c r="A73" s="226" t="s">
        <v>297</v>
      </c>
      <c r="B73" s="197"/>
      <c r="C73" s="197"/>
      <c r="D73" s="197"/>
      <c r="E73" s="197"/>
      <c r="F73" s="197"/>
      <c r="G73" s="197"/>
      <c r="H73" s="197"/>
      <c r="I73" s="197"/>
      <c r="J73" s="200"/>
    </row>
    <row r="74" spans="1:11" ht="15.75" customHeight="1" x14ac:dyDescent="0.2">
      <c r="A74" s="128">
        <v>3</v>
      </c>
      <c r="B74" s="240" t="s">
        <v>298</v>
      </c>
      <c r="C74" s="197"/>
      <c r="D74" s="197"/>
      <c r="E74" s="197"/>
      <c r="F74" s="197"/>
      <c r="G74" s="197"/>
      <c r="H74" s="197"/>
      <c r="I74" s="200"/>
      <c r="J74" s="128" t="s">
        <v>299</v>
      </c>
    </row>
    <row r="75" spans="1:11" ht="46.5" customHeight="1" x14ac:dyDescent="0.2">
      <c r="A75" s="121" t="s">
        <v>185</v>
      </c>
      <c r="B75" s="213" t="s">
        <v>435</v>
      </c>
      <c r="C75" s="197"/>
      <c r="D75" s="197"/>
      <c r="E75" s="197"/>
      <c r="F75" s="197"/>
      <c r="G75" s="197"/>
      <c r="H75" s="197"/>
      <c r="I75" s="200"/>
      <c r="J75" s="130">
        <f>ROUND((($J$30/12)+($J$35/12)+($J$30*0.121/12))*(30/30)*0.05,2)</f>
        <v>14.54</v>
      </c>
    </row>
    <row r="76" spans="1:11" ht="14.25" customHeight="1" x14ac:dyDescent="0.2">
      <c r="A76" s="121" t="s">
        <v>187</v>
      </c>
      <c r="B76" s="213" t="s">
        <v>301</v>
      </c>
      <c r="C76" s="197"/>
      <c r="D76" s="197"/>
      <c r="E76" s="197"/>
      <c r="F76" s="197"/>
      <c r="G76" s="197"/>
      <c r="H76" s="197"/>
      <c r="I76" s="200"/>
      <c r="J76" s="130">
        <f>ROUND($J$75*I50,2)</f>
        <v>1.1599999999999999</v>
      </c>
    </row>
    <row r="77" spans="1:11" ht="27" customHeight="1" x14ac:dyDescent="0.2">
      <c r="A77" s="121" t="s">
        <v>190</v>
      </c>
      <c r="B77" s="213" t="s">
        <v>436</v>
      </c>
      <c r="C77" s="197"/>
      <c r="D77" s="197"/>
      <c r="E77" s="197"/>
      <c r="F77" s="197"/>
      <c r="G77" s="197"/>
      <c r="H77" s="197"/>
      <c r="I77" s="200"/>
      <c r="J77" s="130">
        <f>ROUND(((($J$30/30)*7)/$H$11)*1,2)</f>
        <v>11.27</v>
      </c>
    </row>
    <row r="78" spans="1:11" ht="14.25" customHeight="1" x14ac:dyDescent="0.2">
      <c r="A78" s="121" t="s">
        <v>192</v>
      </c>
      <c r="B78" s="213" t="s">
        <v>303</v>
      </c>
      <c r="C78" s="197"/>
      <c r="D78" s="197"/>
      <c r="E78" s="197"/>
      <c r="F78" s="197"/>
      <c r="G78" s="197"/>
      <c r="H78" s="197"/>
      <c r="I78" s="200"/>
      <c r="J78" s="130">
        <f>ROUND($I$51*J77,2)</f>
        <v>4.1500000000000004</v>
      </c>
    </row>
    <row r="79" spans="1:11" ht="36" customHeight="1" x14ac:dyDescent="0.2">
      <c r="A79" s="121" t="s">
        <v>250</v>
      </c>
      <c r="B79" s="213" t="s">
        <v>437</v>
      </c>
      <c r="C79" s="197"/>
      <c r="D79" s="197"/>
      <c r="E79" s="197"/>
      <c r="F79" s="197"/>
      <c r="G79" s="197"/>
      <c r="H79" s="200"/>
      <c r="I79" s="145">
        <v>0.04</v>
      </c>
      <c r="J79" s="130">
        <f>ROUND($J$30*I79,2)</f>
        <v>115.89</v>
      </c>
    </row>
    <row r="80" spans="1:11" ht="12.75" customHeight="1" x14ac:dyDescent="0.2">
      <c r="A80" s="232" t="s">
        <v>261</v>
      </c>
      <c r="B80" s="197"/>
      <c r="C80" s="197"/>
      <c r="D80" s="197"/>
      <c r="E80" s="197"/>
      <c r="F80" s="197"/>
      <c r="G80" s="197"/>
      <c r="H80" s="197"/>
      <c r="I80" s="200"/>
      <c r="J80" s="127">
        <f>SUM(J75:J79)</f>
        <v>147.01</v>
      </c>
    </row>
    <row r="81" spans="1:11" ht="12.75" customHeight="1" x14ac:dyDescent="0.2">
      <c r="A81" s="225"/>
      <c r="B81" s="197"/>
      <c r="C81" s="197"/>
      <c r="D81" s="197"/>
      <c r="E81" s="197"/>
      <c r="F81" s="197"/>
      <c r="G81" s="197"/>
      <c r="H81" s="197"/>
      <c r="I81" s="197"/>
      <c r="J81" s="200"/>
    </row>
    <row r="82" spans="1:11" ht="15.75" customHeight="1" x14ac:dyDescent="0.2">
      <c r="A82" s="226" t="s">
        <v>305</v>
      </c>
      <c r="B82" s="197"/>
      <c r="C82" s="197"/>
      <c r="D82" s="197"/>
      <c r="E82" s="197"/>
      <c r="F82" s="197"/>
      <c r="G82" s="197"/>
      <c r="H82" s="197"/>
      <c r="I82" s="197"/>
      <c r="J82" s="200"/>
    </row>
    <row r="83" spans="1:11" ht="15" customHeight="1" x14ac:dyDescent="0.2">
      <c r="A83" s="245" t="s">
        <v>306</v>
      </c>
      <c r="B83" s="197"/>
      <c r="C83" s="197"/>
      <c r="D83" s="197"/>
      <c r="E83" s="197"/>
      <c r="F83" s="197"/>
      <c r="G83" s="197"/>
      <c r="H83" s="197"/>
      <c r="I83" s="200"/>
      <c r="J83" s="146">
        <f>J86+J30+J35+J36</f>
        <v>3489.08</v>
      </c>
    </row>
    <row r="84" spans="1:11" ht="14.25" customHeight="1" x14ac:dyDescent="0.2">
      <c r="A84" s="246"/>
      <c r="B84" s="197"/>
      <c r="C84" s="197"/>
      <c r="D84" s="197"/>
      <c r="E84" s="197"/>
      <c r="F84" s="197"/>
      <c r="G84" s="197"/>
      <c r="H84" s="197"/>
      <c r="I84" s="197"/>
      <c r="J84" s="200"/>
    </row>
    <row r="85" spans="1:11" ht="15" customHeight="1" x14ac:dyDescent="0.25">
      <c r="A85" s="147" t="s">
        <v>307</v>
      </c>
      <c r="B85" s="233" t="s">
        <v>308</v>
      </c>
      <c r="C85" s="197"/>
      <c r="D85" s="197"/>
      <c r="E85" s="197"/>
      <c r="F85" s="197"/>
      <c r="G85" s="197"/>
      <c r="H85" s="197"/>
      <c r="I85" s="200"/>
      <c r="J85" s="147" t="s">
        <v>258</v>
      </c>
    </row>
    <row r="86" spans="1:11" ht="12.75" customHeight="1" x14ac:dyDescent="0.2">
      <c r="A86" s="125" t="s">
        <v>185</v>
      </c>
      <c r="B86" s="213" t="s">
        <v>309</v>
      </c>
      <c r="C86" s="197"/>
      <c r="D86" s="197"/>
      <c r="E86" s="197"/>
      <c r="F86" s="197"/>
      <c r="G86" s="197"/>
      <c r="H86" s="200"/>
      <c r="I86" s="124">
        <v>9.0749999999999997E-2</v>
      </c>
      <c r="J86" s="130">
        <f>ROUND(($J$30*I86),2)</f>
        <v>262.92</v>
      </c>
    </row>
    <row r="87" spans="1:11" ht="12.75" customHeight="1" x14ac:dyDescent="0.2">
      <c r="A87" s="125" t="s">
        <v>187</v>
      </c>
      <c r="B87" s="231" t="s">
        <v>438</v>
      </c>
      <c r="C87" s="197"/>
      <c r="D87" s="197"/>
      <c r="E87" s="197"/>
      <c r="F87" s="197"/>
      <c r="G87" s="197"/>
      <c r="H87" s="197"/>
      <c r="I87" s="200"/>
      <c r="J87" s="148">
        <f>ROUND((($J$83/30)*2.96)/12,2)</f>
        <v>28.69</v>
      </c>
    </row>
    <row r="88" spans="1:11" ht="12.75" customHeight="1" x14ac:dyDescent="0.2">
      <c r="A88" s="125" t="s">
        <v>190</v>
      </c>
      <c r="B88" s="231" t="s">
        <v>439</v>
      </c>
      <c r="C88" s="197"/>
      <c r="D88" s="197"/>
      <c r="E88" s="197"/>
      <c r="F88" s="197"/>
      <c r="G88" s="197"/>
      <c r="H88" s="197"/>
      <c r="I88" s="200"/>
      <c r="J88" s="148">
        <f>ROUND((($J$83/30)*5)/12*0.015,2)</f>
        <v>0.73</v>
      </c>
    </row>
    <row r="89" spans="1:11" ht="12.75" customHeight="1" x14ac:dyDescent="0.2">
      <c r="A89" s="125" t="s">
        <v>192</v>
      </c>
      <c r="B89" s="231" t="s">
        <v>440</v>
      </c>
      <c r="C89" s="197"/>
      <c r="D89" s="197"/>
      <c r="E89" s="197"/>
      <c r="F89" s="197"/>
      <c r="G89" s="197"/>
      <c r="H89" s="197"/>
      <c r="I89" s="200"/>
      <c r="J89" s="126">
        <f>ROUND(((($J$83/30)*0.97)/12),2)</f>
        <v>9.4</v>
      </c>
    </row>
    <row r="90" spans="1:11" ht="12.75" customHeight="1" x14ac:dyDescent="0.2">
      <c r="A90" s="121" t="s">
        <v>250</v>
      </c>
      <c r="B90" s="213" t="s">
        <v>441</v>
      </c>
      <c r="C90" s="197"/>
      <c r="D90" s="197"/>
      <c r="E90" s="197"/>
      <c r="F90" s="197"/>
      <c r="G90" s="197"/>
      <c r="H90" s="197"/>
      <c r="I90" s="200"/>
      <c r="J90" s="130">
        <f>ROUND(((((J30*0.121)+(I51)*(J30*0.121))*(4/12)))*0.02,2)+ROUND(((I50*J30+I51*J35+J64-J55-J60+J80)*4/12)*0.02,2)</f>
        <v>6.45</v>
      </c>
      <c r="K90" s="130"/>
    </row>
    <row r="91" spans="1:11" ht="12.75" customHeight="1" x14ac:dyDescent="0.2">
      <c r="A91" s="149" t="s">
        <v>275</v>
      </c>
      <c r="B91" s="247" t="s">
        <v>442</v>
      </c>
      <c r="C91" s="197"/>
      <c r="D91" s="197"/>
      <c r="E91" s="197"/>
      <c r="F91" s="197"/>
      <c r="G91" s="197"/>
      <c r="H91" s="197"/>
      <c r="I91" s="200"/>
      <c r="J91" s="126">
        <f>ROUND(((($J$83/30)*3)/12),2)</f>
        <v>29.08</v>
      </c>
    </row>
    <row r="92" spans="1:11" ht="12.75" customHeight="1" x14ac:dyDescent="0.2">
      <c r="A92" s="232" t="s">
        <v>261</v>
      </c>
      <c r="B92" s="197"/>
      <c r="C92" s="197"/>
      <c r="D92" s="197"/>
      <c r="E92" s="197"/>
      <c r="F92" s="197"/>
      <c r="G92" s="197"/>
      <c r="H92" s="197"/>
      <c r="I92" s="200"/>
      <c r="J92" s="150">
        <f>SUM(J86:J91)</f>
        <v>337.27</v>
      </c>
    </row>
    <row r="93" spans="1:11" ht="14.25" customHeight="1" x14ac:dyDescent="0.2">
      <c r="A93" s="125" t="s">
        <v>277</v>
      </c>
      <c r="B93" s="231" t="s">
        <v>315</v>
      </c>
      <c r="C93" s="197"/>
      <c r="D93" s="197"/>
      <c r="E93" s="197"/>
      <c r="F93" s="197"/>
      <c r="G93" s="197"/>
      <c r="H93" s="197"/>
      <c r="I93" s="200"/>
      <c r="J93" s="126">
        <f>ROUND(I51*J92,2)</f>
        <v>124.12</v>
      </c>
    </row>
    <row r="94" spans="1:11" ht="12.75" customHeight="1" x14ac:dyDescent="0.2">
      <c r="A94" s="232" t="s">
        <v>261</v>
      </c>
      <c r="B94" s="197"/>
      <c r="C94" s="197"/>
      <c r="D94" s="197"/>
      <c r="E94" s="197"/>
      <c r="F94" s="197"/>
      <c r="G94" s="197"/>
      <c r="H94" s="197"/>
      <c r="I94" s="200"/>
      <c r="J94" s="127">
        <f>SUM(J92:J93)</f>
        <v>461.39</v>
      </c>
    </row>
    <row r="95" spans="1:11" ht="15.75" customHeight="1" x14ac:dyDescent="0.2">
      <c r="A95" s="226" t="s">
        <v>316</v>
      </c>
      <c r="B95" s="197"/>
      <c r="C95" s="197"/>
      <c r="D95" s="197"/>
      <c r="E95" s="197"/>
      <c r="F95" s="197"/>
      <c r="G95" s="197"/>
      <c r="H95" s="197"/>
      <c r="I95" s="197"/>
      <c r="J95" s="200"/>
    </row>
    <row r="96" spans="1:11" ht="15" customHeight="1" x14ac:dyDescent="0.2">
      <c r="A96" s="128" t="s">
        <v>317</v>
      </c>
      <c r="B96" s="233" t="s">
        <v>318</v>
      </c>
      <c r="C96" s="197"/>
      <c r="D96" s="197"/>
      <c r="E96" s="197"/>
      <c r="F96" s="197"/>
      <c r="G96" s="197"/>
      <c r="H96" s="197"/>
      <c r="I96" s="200"/>
      <c r="J96" s="151" t="s">
        <v>258</v>
      </c>
    </row>
    <row r="97" spans="1:11" ht="12.75" customHeight="1" x14ac:dyDescent="0.2">
      <c r="A97" s="121" t="s">
        <v>185</v>
      </c>
      <c r="B97" s="231" t="s">
        <v>319</v>
      </c>
      <c r="C97" s="197"/>
      <c r="D97" s="197"/>
      <c r="E97" s="197"/>
      <c r="F97" s="197"/>
      <c r="G97" s="197"/>
      <c r="H97" s="197"/>
      <c r="I97" s="200"/>
      <c r="J97" s="130">
        <v>0</v>
      </c>
      <c r="K97" s="165"/>
    </row>
    <row r="98" spans="1:11" ht="12.75" customHeight="1" x14ac:dyDescent="0.2">
      <c r="A98" s="248" t="s">
        <v>261</v>
      </c>
      <c r="B98" s="197"/>
      <c r="C98" s="197"/>
      <c r="D98" s="197"/>
      <c r="E98" s="197"/>
      <c r="F98" s="197"/>
      <c r="G98" s="197"/>
      <c r="H98" s="197"/>
      <c r="I98" s="200"/>
      <c r="J98" s="130">
        <v>0</v>
      </c>
      <c r="K98" s="165"/>
    </row>
    <row r="99" spans="1:11" ht="12.75" customHeight="1" x14ac:dyDescent="0.2">
      <c r="A99" s="125" t="s">
        <v>187</v>
      </c>
      <c r="B99" s="231" t="s">
        <v>320</v>
      </c>
      <c r="C99" s="197"/>
      <c r="D99" s="197"/>
      <c r="E99" s="197"/>
      <c r="F99" s="197"/>
      <c r="G99" s="197"/>
      <c r="H99" s="197"/>
      <c r="I99" s="200"/>
      <c r="J99" s="126">
        <f>ROUND(I51*J98,2)</f>
        <v>0</v>
      </c>
      <c r="K99" s="165"/>
    </row>
    <row r="100" spans="1:11" ht="12.75" customHeight="1" x14ac:dyDescent="0.2">
      <c r="A100" s="232" t="s">
        <v>261</v>
      </c>
      <c r="B100" s="197"/>
      <c r="C100" s="197"/>
      <c r="D100" s="197"/>
      <c r="E100" s="197"/>
      <c r="F100" s="197"/>
      <c r="G100" s="197"/>
      <c r="H100" s="197"/>
      <c r="I100" s="200"/>
      <c r="J100" s="127">
        <f>SUM(J98:J99)</f>
        <v>0</v>
      </c>
      <c r="K100" s="165"/>
    </row>
    <row r="101" spans="1:11" ht="12.75" customHeight="1" x14ac:dyDescent="0.2">
      <c r="A101" s="256"/>
      <c r="B101" s="197"/>
      <c r="C101" s="197"/>
      <c r="D101" s="197"/>
      <c r="E101" s="197"/>
      <c r="F101" s="197"/>
      <c r="G101" s="197"/>
      <c r="H101" s="197"/>
      <c r="I101" s="197"/>
      <c r="J101" s="200"/>
    </row>
    <row r="102" spans="1:11" ht="15.75" customHeight="1" x14ac:dyDescent="0.2">
      <c r="A102" s="226" t="s">
        <v>321</v>
      </c>
      <c r="B102" s="197"/>
      <c r="C102" s="197"/>
      <c r="D102" s="197"/>
      <c r="E102" s="197"/>
      <c r="F102" s="197"/>
      <c r="G102" s="197"/>
      <c r="H102" s="197"/>
      <c r="I102" s="197"/>
      <c r="J102" s="200"/>
    </row>
    <row r="103" spans="1:11" ht="15.75" customHeight="1" x14ac:dyDescent="0.2">
      <c r="A103" s="113">
        <v>4</v>
      </c>
      <c r="B103" s="240" t="s">
        <v>322</v>
      </c>
      <c r="C103" s="197"/>
      <c r="D103" s="197"/>
      <c r="E103" s="197"/>
      <c r="F103" s="197"/>
      <c r="G103" s="197"/>
      <c r="H103" s="197"/>
      <c r="I103" s="200"/>
      <c r="J103" s="151" t="s">
        <v>258</v>
      </c>
    </row>
    <row r="104" spans="1:11" ht="14.25" customHeight="1" x14ac:dyDescent="0.2">
      <c r="A104" s="87" t="s">
        <v>307</v>
      </c>
      <c r="B104" s="213" t="s">
        <v>323</v>
      </c>
      <c r="C104" s="197"/>
      <c r="D104" s="197"/>
      <c r="E104" s="197"/>
      <c r="F104" s="197"/>
      <c r="G104" s="197"/>
      <c r="H104" s="197"/>
      <c r="I104" s="200"/>
      <c r="J104" s="130">
        <f>J94</f>
        <v>461.39</v>
      </c>
    </row>
    <row r="105" spans="1:11" ht="14.25" customHeight="1" x14ac:dyDescent="0.2">
      <c r="A105" s="87" t="s">
        <v>324</v>
      </c>
      <c r="B105" s="213" t="s">
        <v>325</v>
      </c>
      <c r="C105" s="197"/>
      <c r="D105" s="197"/>
      <c r="E105" s="197"/>
      <c r="F105" s="197"/>
      <c r="G105" s="197"/>
      <c r="H105" s="197"/>
      <c r="I105" s="200"/>
      <c r="J105" s="130">
        <f>J100</f>
        <v>0</v>
      </c>
    </row>
    <row r="106" spans="1:11" ht="14.25" customHeight="1" x14ac:dyDescent="0.2">
      <c r="A106" s="243" t="s">
        <v>261</v>
      </c>
      <c r="B106" s="197"/>
      <c r="C106" s="197"/>
      <c r="D106" s="197"/>
      <c r="E106" s="197"/>
      <c r="F106" s="197"/>
      <c r="G106" s="197"/>
      <c r="H106" s="197"/>
      <c r="I106" s="200"/>
      <c r="J106" s="127">
        <f>SUM(J104+J105)</f>
        <v>461.39</v>
      </c>
    </row>
    <row r="107" spans="1:11" ht="12.75" customHeight="1" x14ac:dyDescent="0.2">
      <c r="A107" s="225"/>
      <c r="B107" s="197"/>
      <c r="C107" s="197"/>
      <c r="D107" s="197"/>
      <c r="E107" s="197"/>
      <c r="F107" s="197"/>
      <c r="G107" s="197"/>
      <c r="H107" s="197"/>
      <c r="I107" s="197"/>
      <c r="J107" s="200"/>
    </row>
    <row r="108" spans="1:11" ht="15.75" customHeight="1" x14ac:dyDescent="0.2">
      <c r="A108" s="226" t="s">
        <v>326</v>
      </c>
      <c r="B108" s="197"/>
      <c r="C108" s="197"/>
      <c r="D108" s="197"/>
      <c r="E108" s="197"/>
      <c r="F108" s="197"/>
      <c r="G108" s="197"/>
      <c r="H108" s="197"/>
      <c r="I108" s="197"/>
      <c r="J108" s="200"/>
    </row>
    <row r="109" spans="1:11" ht="15.75" customHeight="1" x14ac:dyDescent="0.2">
      <c r="A109" s="128">
        <v>5</v>
      </c>
      <c r="B109" s="233" t="s">
        <v>327</v>
      </c>
      <c r="C109" s="197"/>
      <c r="D109" s="197"/>
      <c r="E109" s="197"/>
      <c r="F109" s="197"/>
      <c r="G109" s="197"/>
      <c r="H109" s="197"/>
      <c r="I109" s="200"/>
      <c r="J109" s="128" t="s">
        <v>258</v>
      </c>
    </row>
    <row r="110" spans="1:11" ht="12.75" customHeight="1" x14ac:dyDescent="0.2">
      <c r="A110" s="121" t="s">
        <v>185</v>
      </c>
      <c r="B110" s="231" t="s">
        <v>328</v>
      </c>
      <c r="C110" s="197"/>
      <c r="D110" s="197"/>
      <c r="E110" s="197"/>
      <c r="F110" s="197"/>
      <c r="G110" s="197"/>
      <c r="H110" s="197"/>
      <c r="I110" s="200"/>
      <c r="J110" s="130">
        <f>'INSUMOS - Gravataí'!D192</f>
        <v>273.74249999999995</v>
      </c>
    </row>
    <row r="111" spans="1:11" ht="12.75" customHeight="1" x14ac:dyDescent="0.2">
      <c r="A111" s="121" t="s">
        <v>187</v>
      </c>
      <c r="B111" s="231" t="s">
        <v>329</v>
      </c>
      <c r="C111" s="197"/>
      <c r="D111" s="197"/>
      <c r="E111" s="197"/>
      <c r="F111" s="197"/>
      <c r="G111" s="197"/>
      <c r="H111" s="197"/>
      <c r="I111" s="200"/>
      <c r="J111" s="152">
        <f>'INSUMOS - Gravataí'!D189+'INSUMOS - Gravataí'!D190</f>
        <v>1656.6323333333335</v>
      </c>
    </row>
    <row r="112" spans="1:11" ht="12.75" customHeight="1" x14ac:dyDescent="0.2">
      <c r="A112" s="121" t="s">
        <v>190</v>
      </c>
      <c r="B112" s="231" t="s">
        <v>330</v>
      </c>
      <c r="C112" s="197"/>
      <c r="D112" s="197"/>
      <c r="E112" s="197"/>
      <c r="F112" s="197"/>
      <c r="G112" s="197"/>
      <c r="H112" s="197"/>
      <c r="I112" s="200"/>
      <c r="J112" s="152">
        <f>'INSUMOS - Gravataí'!D191</f>
        <v>183.40708333333336</v>
      </c>
    </row>
    <row r="113" spans="1:10" ht="12.75" customHeight="1" x14ac:dyDescent="0.2">
      <c r="A113" s="121" t="s">
        <v>192</v>
      </c>
      <c r="B113" s="231" t="s">
        <v>331</v>
      </c>
      <c r="C113" s="197"/>
      <c r="D113" s="197"/>
      <c r="E113" s="197"/>
      <c r="F113" s="197"/>
      <c r="G113" s="197"/>
      <c r="H113" s="197"/>
      <c r="I113" s="200"/>
      <c r="J113" s="152" t="s">
        <v>332</v>
      </c>
    </row>
    <row r="114" spans="1:10" ht="12.75" customHeight="1" x14ac:dyDescent="0.2">
      <c r="A114" s="232" t="s">
        <v>253</v>
      </c>
      <c r="B114" s="197"/>
      <c r="C114" s="197"/>
      <c r="D114" s="197"/>
      <c r="E114" s="197"/>
      <c r="F114" s="197"/>
      <c r="G114" s="197"/>
      <c r="H114" s="197"/>
      <c r="I114" s="200"/>
      <c r="J114" s="153">
        <f>SUM(J110:J113)</f>
        <v>2113.7819166666668</v>
      </c>
    </row>
    <row r="115" spans="1:10" ht="12.75" customHeight="1" x14ac:dyDescent="0.2">
      <c r="A115" s="225"/>
      <c r="B115" s="197"/>
      <c r="C115" s="197"/>
      <c r="D115" s="197"/>
      <c r="E115" s="197"/>
      <c r="F115" s="197"/>
      <c r="G115" s="197"/>
      <c r="H115" s="197"/>
      <c r="I115" s="197"/>
      <c r="J115" s="200"/>
    </row>
    <row r="116" spans="1:10" ht="15.75" customHeight="1" x14ac:dyDescent="0.2">
      <c r="A116" s="226" t="s">
        <v>333</v>
      </c>
      <c r="B116" s="197"/>
      <c r="C116" s="197"/>
      <c r="D116" s="197"/>
      <c r="E116" s="197"/>
      <c r="F116" s="197"/>
      <c r="G116" s="197"/>
      <c r="H116" s="197"/>
      <c r="I116" s="197"/>
      <c r="J116" s="200"/>
    </row>
    <row r="117" spans="1:10" ht="30" customHeight="1" x14ac:dyDescent="0.2">
      <c r="A117" s="128">
        <v>6</v>
      </c>
      <c r="B117" s="233" t="s">
        <v>334</v>
      </c>
      <c r="C117" s="197"/>
      <c r="D117" s="197"/>
      <c r="E117" s="197"/>
      <c r="F117" s="197"/>
      <c r="G117" s="197"/>
      <c r="H117" s="200"/>
      <c r="I117" s="113" t="s">
        <v>266</v>
      </c>
      <c r="J117" s="154" t="s">
        <v>335</v>
      </c>
    </row>
    <row r="118" spans="1:10" ht="12.75" customHeight="1" x14ac:dyDescent="0.2">
      <c r="A118" s="229" t="s">
        <v>336</v>
      </c>
      <c r="B118" s="197"/>
      <c r="C118" s="197"/>
      <c r="D118" s="197"/>
      <c r="E118" s="197"/>
      <c r="F118" s="197"/>
      <c r="G118" s="197"/>
      <c r="H118" s="200"/>
      <c r="I118" s="155" t="s">
        <v>286</v>
      </c>
      <c r="J118" s="156">
        <f>SUM(J30+J71+J80+J106+J114)</f>
        <v>7549.3219166666668</v>
      </c>
    </row>
    <row r="119" spans="1:10" ht="15.75" customHeight="1" x14ac:dyDescent="0.2">
      <c r="A119" s="157" t="s">
        <v>185</v>
      </c>
      <c r="B119" s="257" t="s">
        <v>337</v>
      </c>
      <c r="C119" s="197"/>
      <c r="D119" s="197"/>
      <c r="E119" s="197"/>
      <c r="F119" s="197"/>
      <c r="G119" s="197"/>
      <c r="H119" s="200"/>
      <c r="I119" s="122">
        <v>0.03</v>
      </c>
      <c r="J119" s="130">
        <f>ROUND(I119*J118,2)</f>
        <v>226.48</v>
      </c>
    </row>
    <row r="120" spans="1:10" ht="12.75" customHeight="1" x14ac:dyDescent="0.2">
      <c r="A120" s="229" t="s">
        <v>338</v>
      </c>
      <c r="B120" s="197"/>
      <c r="C120" s="197"/>
      <c r="D120" s="197"/>
      <c r="E120" s="197"/>
      <c r="F120" s="197"/>
      <c r="G120" s="197"/>
      <c r="H120" s="200"/>
      <c r="I120" s="158" t="s">
        <v>286</v>
      </c>
      <c r="J120" s="156">
        <f>SUM(J30+J71+J80+J106+J114+J119)</f>
        <v>7775.8019166666663</v>
      </c>
    </row>
    <row r="121" spans="1:10" ht="15.75" customHeight="1" x14ac:dyDescent="0.2">
      <c r="A121" s="157" t="s">
        <v>187</v>
      </c>
      <c r="B121" s="257" t="s">
        <v>339</v>
      </c>
      <c r="C121" s="197"/>
      <c r="D121" s="197"/>
      <c r="E121" s="197"/>
      <c r="F121" s="197"/>
      <c r="G121" s="197"/>
      <c r="H121" s="200"/>
      <c r="I121" s="122">
        <v>6.7900000000000002E-2</v>
      </c>
      <c r="J121" s="130">
        <f>ROUND(I121*J120,2)</f>
        <v>527.98</v>
      </c>
    </row>
    <row r="122" spans="1:10" ht="12.75" customHeight="1" x14ac:dyDescent="0.2">
      <c r="A122" s="229" t="s">
        <v>340</v>
      </c>
      <c r="B122" s="197"/>
      <c r="C122" s="197"/>
      <c r="D122" s="197"/>
      <c r="E122" s="197"/>
      <c r="F122" s="197"/>
      <c r="G122" s="197"/>
      <c r="H122" s="200"/>
      <c r="I122" s="158" t="s">
        <v>286</v>
      </c>
      <c r="J122" s="156">
        <f>SUM(J30+J71+J80+J106+J114+J119+J121)</f>
        <v>8303.7819166666668</v>
      </c>
    </row>
    <row r="123" spans="1:10" ht="15.75" customHeight="1" x14ac:dyDescent="0.2">
      <c r="A123" s="157" t="s">
        <v>190</v>
      </c>
      <c r="B123" s="257" t="s">
        <v>341</v>
      </c>
      <c r="C123" s="197"/>
      <c r="D123" s="197"/>
      <c r="E123" s="197"/>
      <c r="F123" s="197"/>
      <c r="G123" s="197"/>
      <c r="H123" s="200"/>
      <c r="I123" s="122" t="s">
        <v>286</v>
      </c>
      <c r="J123" s="137" t="s">
        <v>286</v>
      </c>
    </row>
    <row r="124" spans="1:10" ht="12.75" customHeight="1" x14ac:dyDescent="0.2">
      <c r="A124" s="121"/>
      <c r="B124" s="231" t="s">
        <v>342</v>
      </c>
      <c r="C124" s="197"/>
      <c r="D124" s="197"/>
      <c r="E124" s="197"/>
      <c r="F124" s="197"/>
      <c r="G124" s="197"/>
      <c r="H124" s="200"/>
      <c r="I124" s="122" t="s">
        <v>286</v>
      </c>
      <c r="J124" s="137" t="s">
        <v>286</v>
      </c>
    </row>
    <row r="125" spans="1:10" ht="12.75" customHeight="1" x14ac:dyDescent="0.2">
      <c r="A125" s="121"/>
      <c r="B125" s="231" t="s">
        <v>443</v>
      </c>
      <c r="C125" s="197"/>
      <c r="D125" s="197"/>
      <c r="E125" s="197"/>
      <c r="F125" s="197"/>
      <c r="G125" s="197"/>
      <c r="H125" s="200"/>
      <c r="I125" s="159">
        <v>7.5999999999999998E-2</v>
      </c>
      <c r="J125" s="130">
        <f t="shared" ref="J125:J126" si="3">ROUND(($J$122/(1-$I$134))*I125,2)</f>
        <v>715.11</v>
      </c>
    </row>
    <row r="126" spans="1:10" ht="12.75" customHeight="1" x14ac:dyDescent="0.2">
      <c r="A126" s="121"/>
      <c r="B126" s="231" t="s">
        <v>444</v>
      </c>
      <c r="C126" s="197"/>
      <c r="D126" s="197"/>
      <c r="E126" s="197"/>
      <c r="F126" s="197"/>
      <c r="G126" s="197"/>
      <c r="H126" s="200"/>
      <c r="I126" s="159">
        <v>1.6500000000000001E-2</v>
      </c>
      <c r="J126" s="130">
        <f t="shared" si="3"/>
        <v>155.25</v>
      </c>
    </row>
    <row r="127" spans="1:10" ht="27" customHeight="1" x14ac:dyDescent="0.2">
      <c r="A127" s="121"/>
      <c r="B127" s="213" t="s">
        <v>345</v>
      </c>
      <c r="C127" s="197"/>
      <c r="D127" s="197"/>
      <c r="E127" s="197"/>
      <c r="F127" s="197"/>
      <c r="G127" s="197"/>
      <c r="H127" s="200"/>
      <c r="I127" s="159" t="s">
        <v>286</v>
      </c>
      <c r="J127" s="137" t="s">
        <v>286</v>
      </c>
    </row>
    <row r="128" spans="1:10" ht="27" customHeight="1" x14ac:dyDescent="0.2">
      <c r="A128" s="121"/>
      <c r="B128" s="213" t="s">
        <v>346</v>
      </c>
      <c r="C128" s="197"/>
      <c r="D128" s="197"/>
      <c r="E128" s="197"/>
      <c r="F128" s="197"/>
      <c r="G128" s="197"/>
      <c r="H128" s="200"/>
      <c r="I128" s="159" t="s">
        <v>286</v>
      </c>
      <c r="J128" s="137" t="s">
        <v>286</v>
      </c>
    </row>
    <row r="129" spans="1:10" ht="12.75" customHeight="1" x14ac:dyDescent="0.2">
      <c r="A129" s="121"/>
      <c r="B129" s="231" t="s">
        <v>347</v>
      </c>
      <c r="C129" s="197"/>
      <c r="D129" s="197"/>
      <c r="E129" s="197"/>
      <c r="F129" s="197"/>
      <c r="G129" s="197"/>
      <c r="H129" s="200"/>
      <c r="I129" s="159" t="s">
        <v>286</v>
      </c>
      <c r="J129" s="137" t="s">
        <v>286</v>
      </c>
    </row>
    <row r="130" spans="1:10" ht="12.75" customHeight="1" x14ac:dyDescent="0.2">
      <c r="A130" s="121"/>
      <c r="B130" s="231" t="s">
        <v>348</v>
      </c>
      <c r="C130" s="197"/>
      <c r="D130" s="197"/>
      <c r="E130" s="197"/>
      <c r="F130" s="197"/>
      <c r="G130" s="197"/>
      <c r="H130" s="200"/>
      <c r="I130" s="159" t="s">
        <v>286</v>
      </c>
      <c r="J130" s="137" t="s">
        <v>286</v>
      </c>
    </row>
    <row r="131" spans="1:10" ht="12.75" customHeight="1" x14ac:dyDescent="0.2">
      <c r="A131" s="121"/>
      <c r="B131" s="231" t="s">
        <v>445</v>
      </c>
      <c r="C131" s="197"/>
      <c r="D131" s="197"/>
      <c r="E131" s="197"/>
      <c r="F131" s="197"/>
      <c r="G131" s="197"/>
      <c r="H131" s="200"/>
      <c r="I131" s="159">
        <v>2.5000000000000001E-2</v>
      </c>
      <c r="J131" s="130">
        <f>ROUND(($J$122/(1-$I$134))*I131,2)</f>
        <v>235.23</v>
      </c>
    </row>
    <row r="132" spans="1:10" ht="12.75" customHeight="1" x14ac:dyDescent="0.2">
      <c r="A132" s="232" t="s">
        <v>261</v>
      </c>
      <c r="B132" s="197"/>
      <c r="C132" s="197"/>
      <c r="D132" s="197"/>
      <c r="E132" s="197"/>
      <c r="F132" s="197"/>
      <c r="G132" s="197"/>
      <c r="H132" s="197"/>
      <c r="I132" s="200"/>
      <c r="J132" s="127">
        <f>SUM(J119+J121+J125+J126+J131)</f>
        <v>1860.0500000000002</v>
      </c>
    </row>
    <row r="133" spans="1:10" ht="12.75" customHeight="1" x14ac:dyDescent="0.2">
      <c r="A133" s="225"/>
      <c r="B133" s="197"/>
      <c r="C133" s="197"/>
      <c r="D133" s="197"/>
      <c r="E133" s="197"/>
      <c r="F133" s="197"/>
      <c r="G133" s="197"/>
      <c r="H133" s="197"/>
      <c r="I133" s="197"/>
      <c r="J133" s="200"/>
    </row>
    <row r="134" spans="1:10" ht="14.25" customHeight="1" x14ac:dyDescent="0.2">
      <c r="A134" s="259" t="s">
        <v>350</v>
      </c>
      <c r="B134" s="197"/>
      <c r="C134" s="197"/>
      <c r="D134" s="197"/>
      <c r="E134" s="197"/>
      <c r="F134" s="197"/>
      <c r="G134" s="197"/>
      <c r="H134" s="200"/>
      <c r="I134" s="160">
        <f t="shared" ref="I134:J134" si="4">SUM(I125:I131)</f>
        <v>0.11749999999999999</v>
      </c>
      <c r="J134" s="156">
        <f t="shared" si="4"/>
        <v>1105.5899999999999</v>
      </c>
    </row>
    <row r="135" spans="1:10" ht="12.75" customHeight="1" x14ac:dyDescent="0.2">
      <c r="A135" s="260" t="s">
        <v>351</v>
      </c>
      <c r="B135" s="203"/>
      <c r="C135" s="261"/>
      <c r="D135" s="258" t="s">
        <v>352</v>
      </c>
      <c r="E135" s="197"/>
      <c r="F135" s="197"/>
      <c r="G135" s="197"/>
      <c r="H135" s="197"/>
      <c r="I135" s="197"/>
      <c r="J135" s="200"/>
    </row>
    <row r="136" spans="1:10" ht="12.75" customHeight="1" x14ac:dyDescent="0.2">
      <c r="A136" s="262"/>
      <c r="B136" s="178"/>
      <c r="C136" s="216"/>
      <c r="D136" s="258" t="s">
        <v>353</v>
      </c>
      <c r="E136" s="197"/>
      <c r="F136" s="197"/>
      <c r="G136" s="197"/>
      <c r="H136" s="197"/>
      <c r="I136" s="197"/>
      <c r="J136" s="200"/>
    </row>
    <row r="137" spans="1:10" ht="12.75" customHeight="1" x14ac:dyDescent="0.2">
      <c r="A137" s="263"/>
      <c r="B137" s="209"/>
      <c r="C137" s="210"/>
      <c r="D137" s="258" t="s">
        <v>354</v>
      </c>
      <c r="E137" s="197"/>
      <c r="F137" s="197"/>
      <c r="G137" s="197"/>
      <c r="H137" s="197"/>
      <c r="I137" s="197"/>
      <c r="J137" s="200"/>
    </row>
    <row r="138" spans="1:10" ht="12.75" customHeight="1" x14ac:dyDescent="0.2">
      <c r="A138" s="225"/>
      <c r="B138" s="197"/>
      <c r="C138" s="197"/>
      <c r="D138" s="197"/>
      <c r="E138" s="197"/>
      <c r="F138" s="197"/>
      <c r="G138" s="197"/>
      <c r="H138" s="197"/>
      <c r="I138" s="197"/>
      <c r="J138" s="200"/>
    </row>
    <row r="139" spans="1:10" ht="45.75" customHeight="1" x14ac:dyDescent="0.2">
      <c r="A139" s="264" t="s">
        <v>355</v>
      </c>
      <c r="B139" s="197"/>
      <c r="C139" s="197"/>
      <c r="D139" s="197"/>
      <c r="E139" s="197"/>
      <c r="F139" s="197"/>
      <c r="G139" s="197"/>
      <c r="H139" s="197"/>
      <c r="I139" s="197"/>
      <c r="J139" s="200"/>
    </row>
    <row r="140" spans="1:10" ht="14.25" customHeight="1" x14ac:dyDescent="0.2">
      <c r="A140" s="265" t="s">
        <v>356</v>
      </c>
      <c r="B140" s="197"/>
      <c r="C140" s="197"/>
      <c r="D140" s="197"/>
      <c r="E140" s="197"/>
      <c r="F140" s="197"/>
      <c r="G140" s="197"/>
      <c r="H140" s="197"/>
      <c r="I140" s="200"/>
      <c r="J140" s="161" t="s">
        <v>258</v>
      </c>
    </row>
    <row r="141" spans="1:10" ht="14.25" customHeight="1" x14ac:dyDescent="0.2">
      <c r="A141" s="162" t="s">
        <v>185</v>
      </c>
      <c r="B141" s="253" t="s">
        <v>357</v>
      </c>
      <c r="C141" s="197"/>
      <c r="D141" s="197"/>
      <c r="E141" s="197"/>
      <c r="F141" s="197"/>
      <c r="G141" s="197"/>
      <c r="H141" s="197"/>
      <c r="I141" s="200"/>
      <c r="J141" s="152">
        <f>J30</f>
        <v>2897.18</v>
      </c>
    </row>
    <row r="142" spans="1:10" ht="14.25" customHeight="1" x14ac:dyDescent="0.2">
      <c r="A142" s="162" t="s">
        <v>187</v>
      </c>
      <c r="B142" s="253" t="s">
        <v>254</v>
      </c>
      <c r="C142" s="197"/>
      <c r="D142" s="197"/>
      <c r="E142" s="197"/>
      <c r="F142" s="197"/>
      <c r="G142" s="197"/>
      <c r="H142" s="197"/>
      <c r="I142" s="200"/>
      <c r="J142" s="152">
        <f>J71</f>
        <v>1929.96</v>
      </c>
    </row>
    <row r="143" spans="1:10" ht="14.25" customHeight="1" x14ac:dyDescent="0.2">
      <c r="A143" s="162" t="s">
        <v>190</v>
      </c>
      <c r="B143" s="253" t="s">
        <v>358</v>
      </c>
      <c r="C143" s="197"/>
      <c r="D143" s="197"/>
      <c r="E143" s="197"/>
      <c r="F143" s="197"/>
      <c r="G143" s="197"/>
      <c r="H143" s="197"/>
      <c r="I143" s="200"/>
      <c r="J143" s="152">
        <f>J80</f>
        <v>147.01</v>
      </c>
    </row>
    <row r="144" spans="1:10" ht="14.25" customHeight="1" x14ac:dyDescent="0.2">
      <c r="A144" s="162" t="s">
        <v>192</v>
      </c>
      <c r="B144" s="253" t="s">
        <v>359</v>
      </c>
      <c r="C144" s="197"/>
      <c r="D144" s="197"/>
      <c r="E144" s="197"/>
      <c r="F144" s="197"/>
      <c r="G144" s="197"/>
      <c r="H144" s="197"/>
      <c r="I144" s="200"/>
      <c r="J144" s="152">
        <f>J106</f>
        <v>461.39</v>
      </c>
    </row>
    <row r="145" spans="1:10" ht="14.25" customHeight="1" x14ac:dyDescent="0.2">
      <c r="A145" s="162" t="s">
        <v>250</v>
      </c>
      <c r="B145" s="253" t="s">
        <v>360</v>
      </c>
      <c r="C145" s="197"/>
      <c r="D145" s="197"/>
      <c r="E145" s="197"/>
      <c r="F145" s="197"/>
      <c r="G145" s="197"/>
      <c r="H145" s="197"/>
      <c r="I145" s="200"/>
      <c r="J145" s="152">
        <f>J114</f>
        <v>2113.7819166666668</v>
      </c>
    </row>
    <row r="146" spans="1:10" ht="14.25" customHeight="1" x14ac:dyDescent="0.2">
      <c r="A146" s="254" t="s">
        <v>361</v>
      </c>
      <c r="B146" s="197"/>
      <c r="C146" s="197"/>
      <c r="D146" s="197"/>
      <c r="E146" s="197"/>
      <c r="F146" s="197"/>
      <c r="G146" s="197"/>
      <c r="H146" s="197"/>
      <c r="I146" s="200"/>
      <c r="J146" s="153">
        <f>SUM(J141:J145)</f>
        <v>7549.3219166666668</v>
      </c>
    </row>
    <row r="147" spans="1:10" ht="14.25" customHeight="1" x14ac:dyDescent="0.2">
      <c r="A147" s="162" t="s">
        <v>275</v>
      </c>
      <c r="B147" s="253" t="s">
        <v>362</v>
      </c>
      <c r="C147" s="197"/>
      <c r="D147" s="197"/>
      <c r="E147" s="197"/>
      <c r="F147" s="197"/>
      <c r="G147" s="197"/>
      <c r="H147" s="197"/>
      <c r="I147" s="200"/>
      <c r="J147" s="152">
        <f>J132</f>
        <v>1860.0500000000002</v>
      </c>
    </row>
    <row r="148" spans="1:10" ht="14.25" customHeight="1" x14ac:dyDescent="0.2">
      <c r="A148" s="254" t="s">
        <v>363</v>
      </c>
      <c r="B148" s="197"/>
      <c r="C148" s="197"/>
      <c r="D148" s="197"/>
      <c r="E148" s="197"/>
      <c r="F148" s="197"/>
      <c r="G148" s="197"/>
      <c r="H148" s="197"/>
      <c r="I148" s="200"/>
      <c r="J148" s="153">
        <f>SUM(J146:J147)</f>
        <v>9409.3719166666669</v>
      </c>
    </row>
    <row r="149" spans="1:10" ht="12.75" customHeight="1" x14ac:dyDescent="0.2">
      <c r="A149" s="225"/>
      <c r="B149" s="197"/>
      <c r="C149" s="197"/>
      <c r="D149" s="197"/>
      <c r="E149" s="197"/>
      <c r="F149" s="197"/>
      <c r="G149" s="197"/>
      <c r="H149" s="197"/>
      <c r="I149" s="197"/>
      <c r="J149" s="200"/>
    </row>
    <row r="150" spans="1:10" ht="12.75" customHeight="1" x14ac:dyDescent="0.2">
      <c r="A150" s="255" t="s">
        <v>364</v>
      </c>
      <c r="B150" s="203"/>
      <c r="C150" s="203"/>
      <c r="D150" s="203"/>
      <c r="E150" s="203"/>
      <c r="F150" s="203"/>
      <c r="G150" s="203"/>
      <c r="H150" s="203"/>
      <c r="I150" s="203"/>
      <c r="J150" s="203"/>
    </row>
    <row r="151" spans="1:10" ht="12.75" customHeight="1" x14ac:dyDescent="0.2">
      <c r="A151" s="249" t="s">
        <v>365</v>
      </c>
      <c r="B151" s="197"/>
      <c r="C151" s="197"/>
      <c r="D151" s="197"/>
      <c r="E151" s="197"/>
      <c r="F151" s="197"/>
      <c r="G151" s="200"/>
      <c r="H151" s="249" t="s">
        <v>366</v>
      </c>
      <c r="I151" s="197"/>
      <c r="J151" s="200"/>
    </row>
    <row r="152" spans="1:10" ht="12.75" customHeight="1" x14ac:dyDescent="0.2">
      <c r="A152" s="250" t="s">
        <v>156</v>
      </c>
      <c r="B152" s="203"/>
      <c r="C152" s="203"/>
      <c r="D152" s="203"/>
      <c r="E152" s="203"/>
      <c r="F152" s="203"/>
      <c r="G152" s="203"/>
      <c r="H152" s="251">
        <v>1</v>
      </c>
      <c r="I152" s="203"/>
      <c r="J152" s="203"/>
    </row>
    <row r="153" spans="1:10" ht="12.75" customHeight="1" x14ac:dyDescent="0.2">
      <c r="A153" s="252"/>
      <c r="B153" s="197"/>
      <c r="C153" s="197"/>
      <c r="D153" s="197"/>
      <c r="E153" s="197"/>
      <c r="F153" s="197"/>
      <c r="G153" s="197"/>
      <c r="H153" s="197"/>
      <c r="I153" s="197"/>
      <c r="J153" s="200"/>
    </row>
    <row r="154" spans="1:10" ht="12.75" customHeight="1" x14ac:dyDescent="0.2"/>
    <row r="155" spans="1:10" ht="12.75" customHeight="1" x14ac:dyDescent="0.2"/>
    <row r="156" spans="1:10" ht="12.75" customHeight="1" x14ac:dyDescent="0.2"/>
    <row r="157" spans="1:10" ht="12.75" customHeight="1" x14ac:dyDescent="0.2"/>
    <row r="158" spans="1:10" ht="12.75" customHeight="1" x14ac:dyDescent="0.2"/>
    <row r="159" spans="1:10" ht="12.75" customHeight="1" x14ac:dyDescent="0.2"/>
    <row r="160" spans="1:1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68">
    <mergeCell ref="A139:J139"/>
    <mergeCell ref="A140:I140"/>
    <mergeCell ref="B141:I141"/>
    <mergeCell ref="B142:I142"/>
    <mergeCell ref="B143:I143"/>
    <mergeCell ref="B129:H129"/>
    <mergeCell ref="B130:H130"/>
    <mergeCell ref="B131:H131"/>
    <mergeCell ref="A132:I132"/>
    <mergeCell ref="A133:J133"/>
    <mergeCell ref="A134:H134"/>
    <mergeCell ref="A135:C137"/>
    <mergeCell ref="D137:J137"/>
    <mergeCell ref="A138:J138"/>
    <mergeCell ref="A153:J153"/>
    <mergeCell ref="B144:I144"/>
    <mergeCell ref="B145:I145"/>
    <mergeCell ref="A146:I146"/>
    <mergeCell ref="B147:I147"/>
    <mergeCell ref="A148:I148"/>
    <mergeCell ref="A149:J149"/>
    <mergeCell ref="A150:J150"/>
    <mergeCell ref="A101:J101"/>
    <mergeCell ref="A102:J102"/>
    <mergeCell ref="B103:I103"/>
    <mergeCell ref="B104:I104"/>
    <mergeCell ref="B105:I105"/>
    <mergeCell ref="A106:I106"/>
    <mergeCell ref="A107:J107"/>
    <mergeCell ref="A108:J108"/>
    <mergeCell ref="B109:I109"/>
    <mergeCell ref="B110:I110"/>
    <mergeCell ref="B111:I111"/>
    <mergeCell ref="B112:I112"/>
    <mergeCell ref="B113:I113"/>
    <mergeCell ref="A114:I114"/>
    <mergeCell ref="A115:J115"/>
    <mergeCell ref="A116:J116"/>
    <mergeCell ref="A95:J95"/>
    <mergeCell ref="B96:I96"/>
    <mergeCell ref="B97:I97"/>
    <mergeCell ref="A98:I98"/>
    <mergeCell ref="B99:I99"/>
    <mergeCell ref="A100:I100"/>
    <mergeCell ref="A151:G151"/>
    <mergeCell ref="H151:J151"/>
    <mergeCell ref="A152:G152"/>
    <mergeCell ref="H152:J152"/>
    <mergeCell ref="B117:H117"/>
    <mergeCell ref="A118:H118"/>
    <mergeCell ref="B119:H119"/>
    <mergeCell ref="A120:H120"/>
    <mergeCell ref="B121:H121"/>
    <mergeCell ref="A122:H122"/>
    <mergeCell ref="B123:H123"/>
    <mergeCell ref="B124:H124"/>
    <mergeCell ref="B125:H125"/>
    <mergeCell ref="B126:H126"/>
    <mergeCell ref="B127:H127"/>
    <mergeCell ref="B128:H128"/>
    <mergeCell ref="D135:J135"/>
    <mergeCell ref="D136:J136"/>
    <mergeCell ref="B86:H86"/>
    <mergeCell ref="B87:I87"/>
    <mergeCell ref="B88:I88"/>
    <mergeCell ref="B89:I89"/>
    <mergeCell ref="B90:I90"/>
    <mergeCell ref="B91:I91"/>
    <mergeCell ref="A92:I92"/>
    <mergeCell ref="B93:I93"/>
    <mergeCell ref="A94:I94"/>
    <mergeCell ref="B77:I77"/>
    <mergeCell ref="B78:I78"/>
    <mergeCell ref="B79:H79"/>
    <mergeCell ref="A80:I80"/>
    <mergeCell ref="A81:J81"/>
    <mergeCell ref="A82:J82"/>
    <mergeCell ref="A83:I83"/>
    <mergeCell ref="A84:J84"/>
    <mergeCell ref="B85:I85"/>
    <mergeCell ref="C68:I68"/>
    <mergeCell ref="C69:I69"/>
    <mergeCell ref="C70:I70"/>
    <mergeCell ref="A71:I71"/>
    <mergeCell ref="A72:J72"/>
    <mergeCell ref="A73:J73"/>
    <mergeCell ref="B74:I74"/>
    <mergeCell ref="B75:I75"/>
    <mergeCell ref="B76:I76"/>
    <mergeCell ref="B59:H59"/>
    <mergeCell ref="B60:I60"/>
    <mergeCell ref="B61:H61"/>
    <mergeCell ref="B62:H62"/>
    <mergeCell ref="B63:I63"/>
    <mergeCell ref="A64:I64"/>
    <mergeCell ref="A65:J65"/>
    <mergeCell ref="A66:J66"/>
    <mergeCell ref="B67:I67"/>
    <mergeCell ref="B50:H50"/>
    <mergeCell ref="A51:H51"/>
    <mergeCell ref="A52:J52"/>
    <mergeCell ref="A53:J53"/>
    <mergeCell ref="B54:I54"/>
    <mergeCell ref="B55:I55"/>
    <mergeCell ref="B56:H56"/>
    <mergeCell ref="B57:H57"/>
    <mergeCell ref="B58:H58"/>
    <mergeCell ref="B27:I27"/>
    <mergeCell ref="B28:I28"/>
    <mergeCell ref="B29:H29"/>
    <mergeCell ref="A30:I30"/>
    <mergeCell ref="B45:D45"/>
    <mergeCell ref="B46:H46"/>
    <mergeCell ref="B47:H47"/>
    <mergeCell ref="B48:H48"/>
    <mergeCell ref="B49:H49"/>
    <mergeCell ref="B20:G20"/>
    <mergeCell ref="H20:J20"/>
    <mergeCell ref="A21:J21"/>
    <mergeCell ref="A22:J22"/>
    <mergeCell ref="B23:G23"/>
    <mergeCell ref="H23:I23"/>
    <mergeCell ref="B24:I24"/>
    <mergeCell ref="B25:H25"/>
    <mergeCell ref="B26:I26"/>
    <mergeCell ref="A14:J14"/>
    <mergeCell ref="A15:J15"/>
    <mergeCell ref="B16:G16"/>
    <mergeCell ref="H16:J16"/>
    <mergeCell ref="B17:G17"/>
    <mergeCell ref="H17:J17"/>
    <mergeCell ref="B18:G18"/>
    <mergeCell ref="H18:J18"/>
    <mergeCell ref="H19:J19"/>
    <mergeCell ref="B19:G19"/>
    <mergeCell ref="A40:J40"/>
    <mergeCell ref="A41:J41"/>
    <mergeCell ref="B42:H42"/>
    <mergeCell ref="B43:H43"/>
    <mergeCell ref="B44:H44"/>
    <mergeCell ref="A1:J1"/>
    <mergeCell ref="A2:J2"/>
    <mergeCell ref="A3:J3"/>
    <mergeCell ref="A4:G4"/>
    <mergeCell ref="H4:J4"/>
    <mergeCell ref="A5:G5"/>
    <mergeCell ref="H5:J5"/>
    <mergeCell ref="A6:J6"/>
    <mergeCell ref="A7:J7"/>
    <mergeCell ref="B8:G8"/>
    <mergeCell ref="H8:J8"/>
    <mergeCell ref="B9:G9"/>
    <mergeCell ref="H9:J9"/>
    <mergeCell ref="H10:J10"/>
    <mergeCell ref="B10:G10"/>
    <mergeCell ref="B11:G11"/>
    <mergeCell ref="H11:J11"/>
    <mergeCell ref="A12:J12"/>
    <mergeCell ref="A13:J13"/>
    <mergeCell ref="A31:J31"/>
    <mergeCell ref="A32:J32"/>
    <mergeCell ref="A33:J33"/>
    <mergeCell ref="B34:I34"/>
    <mergeCell ref="B35:H35"/>
    <mergeCell ref="B36:H36"/>
    <mergeCell ref="A37:I37"/>
    <mergeCell ref="B38:I38"/>
    <mergeCell ref="A39:I39"/>
  </mergeCells>
  <pageMargins left="0.7" right="0.7" top="0.75" bottom="0.75" header="0" footer="0"/>
  <pageSetup fitToHeight="0" orientation="portrait"/>
  <headerFooter>
    <oddHeader>&amp;C&amp;A</oddHeader>
    <oddFooter>&amp;CPágina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C00"/>
  </sheetPr>
  <dimension ref="A1:K1000"/>
  <sheetViews>
    <sheetView workbookViewId="0">
      <selection sqref="A1:J1"/>
    </sheetView>
  </sheetViews>
  <sheetFormatPr defaultColWidth="12.5703125" defaultRowHeight="15" customHeight="1" x14ac:dyDescent="0.2"/>
  <cols>
    <col min="1" max="10" width="11.5703125" customWidth="1"/>
    <col min="11" max="26" width="8" customWidth="1"/>
  </cols>
  <sheetData>
    <row r="1" spans="1:10" ht="23.25" customHeight="1" x14ac:dyDescent="0.2">
      <c r="A1" s="234" t="s">
        <v>421</v>
      </c>
      <c r="B1" s="197"/>
      <c r="C1" s="197"/>
      <c r="D1" s="197"/>
      <c r="E1" s="197"/>
      <c r="F1" s="197"/>
      <c r="G1" s="197"/>
      <c r="H1" s="197"/>
      <c r="I1" s="197"/>
      <c r="J1" s="200"/>
    </row>
    <row r="2" spans="1:10" ht="24" customHeight="1" x14ac:dyDescent="0.2">
      <c r="A2" s="235" t="s">
        <v>367</v>
      </c>
      <c r="B2" s="197"/>
      <c r="C2" s="197"/>
      <c r="D2" s="197"/>
      <c r="E2" s="197"/>
      <c r="F2" s="197"/>
      <c r="G2" s="197"/>
      <c r="H2" s="197"/>
      <c r="I2" s="197"/>
      <c r="J2" s="200"/>
    </row>
    <row r="3" spans="1:10" ht="46.5" customHeight="1" x14ac:dyDescent="0.2">
      <c r="A3" s="236" t="s">
        <v>446</v>
      </c>
      <c r="B3" s="197"/>
      <c r="C3" s="197"/>
      <c r="D3" s="197"/>
      <c r="E3" s="197"/>
      <c r="F3" s="197"/>
      <c r="G3" s="197"/>
      <c r="H3" s="197"/>
      <c r="I3" s="197"/>
      <c r="J3" s="200"/>
    </row>
    <row r="4" spans="1:10" ht="14.25" customHeight="1" x14ac:dyDescent="0.2">
      <c r="A4" s="213" t="s">
        <v>180</v>
      </c>
      <c r="B4" s="197"/>
      <c r="C4" s="197"/>
      <c r="D4" s="197"/>
      <c r="E4" s="197"/>
      <c r="F4" s="197"/>
      <c r="G4" s="200"/>
      <c r="H4" s="201" t="s">
        <v>226</v>
      </c>
      <c r="I4" s="197"/>
      <c r="J4" s="200"/>
    </row>
    <row r="5" spans="1:10" ht="14.25" customHeight="1" x14ac:dyDescent="0.2">
      <c r="A5" s="213" t="s">
        <v>182</v>
      </c>
      <c r="B5" s="197"/>
      <c r="C5" s="197"/>
      <c r="D5" s="197"/>
      <c r="E5" s="197"/>
      <c r="F5" s="197"/>
      <c r="G5" s="200"/>
      <c r="H5" s="201"/>
      <c r="I5" s="197"/>
      <c r="J5" s="200"/>
    </row>
    <row r="6" spans="1:10" ht="14.25" customHeight="1" x14ac:dyDescent="0.2">
      <c r="A6" s="213" t="s">
        <v>183</v>
      </c>
      <c r="B6" s="197"/>
      <c r="C6" s="197"/>
      <c r="D6" s="197"/>
      <c r="E6" s="197"/>
      <c r="F6" s="197"/>
      <c r="G6" s="197"/>
      <c r="H6" s="197"/>
      <c r="I6" s="197"/>
      <c r="J6" s="200"/>
    </row>
    <row r="7" spans="1:10" ht="15.75" customHeight="1" x14ac:dyDescent="0.2">
      <c r="A7" s="237" t="s">
        <v>184</v>
      </c>
      <c r="B7" s="197"/>
      <c r="C7" s="197"/>
      <c r="D7" s="197"/>
      <c r="E7" s="197"/>
      <c r="F7" s="197"/>
      <c r="G7" s="197"/>
      <c r="H7" s="197"/>
      <c r="I7" s="197"/>
      <c r="J7" s="200"/>
    </row>
    <row r="8" spans="1:10" ht="14.25" customHeight="1" x14ac:dyDescent="0.2">
      <c r="A8" s="87" t="s">
        <v>185</v>
      </c>
      <c r="B8" s="213" t="s">
        <v>186</v>
      </c>
      <c r="C8" s="197"/>
      <c r="D8" s="197"/>
      <c r="E8" s="197"/>
      <c r="F8" s="197"/>
      <c r="G8" s="200"/>
      <c r="H8" s="214"/>
      <c r="I8" s="197"/>
      <c r="J8" s="200"/>
    </row>
    <row r="9" spans="1:10" ht="14.25" customHeight="1" x14ac:dyDescent="0.2">
      <c r="A9" s="87" t="s">
        <v>187</v>
      </c>
      <c r="B9" s="213" t="s">
        <v>227</v>
      </c>
      <c r="C9" s="197"/>
      <c r="D9" s="197"/>
      <c r="E9" s="197"/>
      <c r="F9" s="197"/>
      <c r="G9" s="200"/>
      <c r="H9" s="201" t="s">
        <v>423</v>
      </c>
      <c r="I9" s="197"/>
      <c r="J9" s="200"/>
    </row>
    <row r="10" spans="1:10" ht="39" customHeight="1" x14ac:dyDescent="0.2">
      <c r="A10" s="87" t="s">
        <v>190</v>
      </c>
      <c r="B10" s="213" t="s">
        <v>229</v>
      </c>
      <c r="C10" s="197"/>
      <c r="D10" s="197"/>
      <c r="E10" s="197"/>
      <c r="F10" s="197"/>
      <c r="G10" s="200"/>
      <c r="H10" s="238" t="s">
        <v>447</v>
      </c>
      <c r="I10" s="197"/>
      <c r="J10" s="200"/>
    </row>
    <row r="11" spans="1:10" ht="12.75" customHeight="1" x14ac:dyDescent="0.2">
      <c r="A11" s="87" t="s">
        <v>192</v>
      </c>
      <c r="B11" s="213" t="s">
        <v>448</v>
      </c>
      <c r="C11" s="197"/>
      <c r="D11" s="197"/>
      <c r="E11" s="197"/>
      <c r="F11" s="197"/>
      <c r="G11" s="200"/>
      <c r="H11" s="201">
        <v>60</v>
      </c>
      <c r="I11" s="197"/>
      <c r="J11" s="200"/>
    </row>
    <row r="12" spans="1:10" ht="12.75" customHeight="1" x14ac:dyDescent="0.2">
      <c r="A12" s="225"/>
      <c r="B12" s="197"/>
      <c r="C12" s="197"/>
      <c r="D12" s="197"/>
      <c r="E12" s="197"/>
      <c r="F12" s="197"/>
      <c r="G12" s="197"/>
      <c r="H12" s="197"/>
      <c r="I12" s="197"/>
      <c r="J12" s="200"/>
    </row>
    <row r="13" spans="1:10" ht="48.75" customHeight="1" x14ac:dyDescent="0.2">
      <c r="A13" s="239" t="s">
        <v>449</v>
      </c>
      <c r="B13" s="197"/>
      <c r="C13" s="197"/>
      <c r="D13" s="197"/>
      <c r="E13" s="197"/>
      <c r="F13" s="197"/>
      <c r="G13" s="197"/>
      <c r="H13" s="197"/>
      <c r="I13" s="197"/>
      <c r="J13" s="200"/>
    </row>
    <row r="14" spans="1:10" ht="12.75" customHeight="1" x14ac:dyDescent="0.2">
      <c r="A14" s="225"/>
      <c r="B14" s="197"/>
      <c r="C14" s="197"/>
      <c r="D14" s="197"/>
      <c r="E14" s="197"/>
      <c r="F14" s="197"/>
      <c r="G14" s="197"/>
      <c r="H14" s="197"/>
      <c r="I14" s="197"/>
      <c r="J14" s="200"/>
    </row>
    <row r="15" spans="1:10" ht="15.75" customHeight="1" x14ac:dyDescent="0.2">
      <c r="A15" s="240" t="s">
        <v>233</v>
      </c>
      <c r="B15" s="197"/>
      <c r="C15" s="197"/>
      <c r="D15" s="197"/>
      <c r="E15" s="197"/>
      <c r="F15" s="197"/>
      <c r="G15" s="197"/>
      <c r="H15" s="197"/>
      <c r="I15" s="197"/>
      <c r="J15" s="200"/>
    </row>
    <row r="16" spans="1:10" ht="15.75" customHeight="1" x14ac:dyDescent="0.2">
      <c r="A16" s="87">
        <v>1</v>
      </c>
      <c r="B16" s="213" t="s">
        <v>234</v>
      </c>
      <c r="C16" s="197"/>
      <c r="D16" s="197"/>
      <c r="E16" s="197"/>
      <c r="F16" s="197"/>
      <c r="G16" s="200"/>
      <c r="H16" s="241" t="s">
        <v>235</v>
      </c>
      <c r="I16" s="197"/>
      <c r="J16" s="200"/>
    </row>
    <row r="17" spans="1:11" ht="15.75" customHeight="1" x14ac:dyDescent="0.2">
      <c r="A17" s="87">
        <v>2</v>
      </c>
      <c r="B17" s="213" t="s">
        <v>236</v>
      </c>
      <c r="C17" s="197"/>
      <c r="D17" s="197"/>
      <c r="E17" s="197"/>
      <c r="F17" s="197"/>
      <c r="G17" s="200"/>
      <c r="H17" s="241" t="s">
        <v>372</v>
      </c>
      <c r="I17" s="197"/>
      <c r="J17" s="200"/>
    </row>
    <row r="18" spans="1:11" ht="15.75" customHeight="1" x14ac:dyDescent="0.2">
      <c r="A18" s="87">
        <v>3</v>
      </c>
      <c r="B18" s="213" t="s">
        <v>238</v>
      </c>
      <c r="C18" s="197"/>
      <c r="D18" s="197"/>
      <c r="E18" s="197"/>
      <c r="F18" s="197"/>
      <c r="G18" s="200"/>
      <c r="H18" s="242">
        <v>1540.51</v>
      </c>
      <c r="I18" s="197"/>
      <c r="J18" s="200"/>
    </row>
    <row r="19" spans="1:11" ht="15.75" customHeight="1" x14ac:dyDescent="0.2">
      <c r="A19" s="87">
        <v>4</v>
      </c>
      <c r="B19" s="213" t="s">
        <v>239</v>
      </c>
      <c r="C19" s="197"/>
      <c r="D19" s="197"/>
      <c r="E19" s="197"/>
      <c r="F19" s="197"/>
      <c r="G19" s="200"/>
      <c r="H19" s="241" t="s">
        <v>161</v>
      </c>
      <c r="I19" s="197"/>
      <c r="J19" s="200"/>
    </row>
    <row r="20" spans="1:11" ht="15.75" customHeight="1" x14ac:dyDescent="0.2">
      <c r="A20" s="87">
        <v>5</v>
      </c>
      <c r="B20" s="213" t="s">
        <v>240</v>
      </c>
      <c r="C20" s="197"/>
      <c r="D20" s="197"/>
      <c r="E20" s="197"/>
      <c r="F20" s="197"/>
      <c r="G20" s="200"/>
      <c r="H20" s="241" t="s">
        <v>373</v>
      </c>
      <c r="I20" s="197"/>
      <c r="J20" s="200"/>
    </row>
    <row r="21" spans="1:11" ht="12.75" customHeight="1" x14ac:dyDescent="0.2">
      <c r="A21" s="225"/>
      <c r="B21" s="197"/>
      <c r="C21" s="197"/>
      <c r="D21" s="197"/>
      <c r="E21" s="197"/>
      <c r="F21" s="197"/>
      <c r="G21" s="197"/>
      <c r="H21" s="197"/>
      <c r="I21" s="197"/>
      <c r="J21" s="200"/>
    </row>
    <row r="22" spans="1:11" ht="20.25" customHeight="1" x14ac:dyDescent="0.2">
      <c r="A22" s="239" t="s">
        <v>242</v>
      </c>
      <c r="B22" s="197"/>
      <c r="C22" s="197"/>
      <c r="D22" s="197"/>
      <c r="E22" s="197"/>
      <c r="F22" s="197"/>
      <c r="G22" s="197"/>
      <c r="H22" s="197"/>
      <c r="I22" s="197"/>
      <c r="J22" s="200"/>
    </row>
    <row r="23" spans="1:11" ht="30" customHeight="1" x14ac:dyDescent="0.2">
      <c r="A23" s="113">
        <v>1</v>
      </c>
      <c r="B23" s="240" t="s">
        <v>243</v>
      </c>
      <c r="C23" s="197"/>
      <c r="D23" s="197"/>
      <c r="E23" s="197"/>
      <c r="F23" s="197"/>
      <c r="G23" s="200"/>
      <c r="H23" s="240" t="s">
        <v>244</v>
      </c>
      <c r="I23" s="200"/>
      <c r="J23" s="113" t="s">
        <v>245</v>
      </c>
    </row>
    <row r="24" spans="1:11" ht="12.75" customHeight="1" x14ac:dyDescent="0.2">
      <c r="A24" s="87" t="s">
        <v>185</v>
      </c>
      <c r="B24" s="213" t="s">
        <v>450</v>
      </c>
      <c r="C24" s="197"/>
      <c r="D24" s="197"/>
      <c r="E24" s="197"/>
      <c r="F24" s="197"/>
      <c r="G24" s="197"/>
      <c r="H24" s="197"/>
      <c r="I24" s="200"/>
      <c r="J24" s="114">
        <f>ROUND(((25/6)*30)*(H18/220),2)</f>
        <v>875.29</v>
      </c>
      <c r="K24" s="163"/>
    </row>
    <row r="25" spans="1:11" ht="12.75" customHeight="1" x14ac:dyDescent="0.2">
      <c r="A25" s="115" t="s">
        <v>187</v>
      </c>
      <c r="B25" s="213" t="s">
        <v>247</v>
      </c>
      <c r="C25" s="197"/>
      <c r="D25" s="197"/>
      <c r="E25" s="197"/>
      <c r="F25" s="197"/>
      <c r="G25" s="197"/>
      <c r="H25" s="200"/>
      <c r="I25" s="116">
        <v>0</v>
      </c>
      <c r="J25" s="114">
        <f>ROUND(I25*J24,2)</f>
        <v>0</v>
      </c>
    </row>
    <row r="26" spans="1:11" ht="12.75" customHeight="1" x14ac:dyDescent="0.2">
      <c r="A26" s="115" t="s">
        <v>190</v>
      </c>
      <c r="B26" s="213" t="s">
        <v>248</v>
      </c>
      <c r="C26" s="197"/>
      <c r="D26" s="197"/>
      <c r="E26" s="197"/>
      <c r="F26" s="197"/>
      <c r="G26" s="197"/>
      <c r="H26" s="197"/>
      <c r="I26" s="200"/>
      <c r="J26" s="114"/>
    </row>
    <row r="27" spans="1:11" ht="12.75" customHeight="1" x14ac:dyDescent="0.2">
      <c r="A27" s="115" t="s">
        <v>192</v>
      </c>
      <c r="B27" s="213" t="s">
        <v>249</v>
      </c>
      <c r="C27" s="197"/>
      <c r="D27" s="197"/>
      <c r="E27" s="197"/>
      <c r="F27" s="197"/>
      <c r="G27" s="197"/>
      <c r="H27" s="197"/>
      <c r="I27" s="200"/>
      <c r="J27" s="114"/>
    </row>
    <row r="28" spans="1:11" ht="12.75" customHeight="1" x14ac:dyDescent="0.2">
      <c r="A28" s="115" t="s">
        <v>250</v>
      </c>
      <c r="B28" s="213" t="s">
        <v>251</v>
      </c>
      <c r="C28" s="197"/>
      <c r="D28" s="197"/>
      <c r="E28" s="197"/>
      <c r="F28" s="197"/>
      <c r="G28" s="197"/>
      <c r="H28" s="197"/>
      <c r="I28" s="200"/>
      <c r="J28" s="114"/>
    </row>
    <row r="29" spans="1:11" ht="12.75" customHeight="1" x14ac:dyDescent="0.2">
      <c r="A29" s="87" t="s">
        <v>187</v>
      </c>
      <c r="B29" s="213" t="s">
        <v>252</v>
      </c>
      <c r="C29" s="197"/>
      <c r="D29" s="197"/>
      <c r="E29" s="197"/>
      <c r="F29" s="197"/>
      <c r="G29" s="197"/>
      <c r="H29" s="200"/>
      <c r="I29" s="117">
        <v>0</v>
      </c>
      <c r="J29" s="114">
        <f>ROUND(I29*J24,2)</f>
        <v>0</v>
      </c>
    </row>
    <row r="30" spans="1:11" ht="15.75" customHeight="1" x14ac:dyDescent="0.2">
      <c r="A30" s="243" t="s">
        <v>253</v>
      </c>
      <c r="B30" s="197"/>
      <c r="C30" s="197"/>
      <c r="D30" s="197"/>
      <c r="E30" s="197"/>
      <c r="F30" s="197"/>
      <c r="G30" s="197"/>
      <c r="H30" s="197"/>
      <c r="I30" s="200"/>
      <c r="J30" s="118">
        <f>SUM(J24:J29)</f>
        <v>875.29</v>
      </c>
    </row>
    <row r="31" spans="1:11" ht="12.75" customHeight="1" x14ac:dyDescent="0.2">
      <c r="A31" s="225"/>
      <c r="B31" s="197"/>
      <c r="C31" s="197"/>
      <c r="D31" s="197"/>
      <c r="E31" s="197"/>
      <c r="F31" s="197"/>
      <c r="G31" s="197"/>
      <c r="H31" s="197"/>
      <c r="I31" s="197"/>
      <c r="J31" s="200"/>
    </row>
    <row r="32" spans="1:11" ht="15.75" customHeight="1" x14ac:dyDescent="0.2">
      <c r="A32" s="226" t="s">
        <v>254</v>
      </c>
      <c r="B32" s="197"/>
      <c r="C32" s="197"/>
      <c r="D32" s="197"/>
      <c r="E32" s="197"/>
      <c r="F32" s="197"/>
      <c r="G32" s="197"/>
      <c r="H32" s="197"/>
      <c r="I32" s="197"/>
      <c r="J32" s="200"/>
    </row>
    <row r="33" spans="1:10" ht="15" customHeight="1" x14ac:dyDescent="0.2">
      <c r="A33" s="227" t="s">
        <v>451</v>
      </c>
      <c r="B33" s="197"/>
      <c r="C33" s="197"/>
      <c r="D33" s="197"/>
      <c r="E33" s="197"/>
      <c r="F33" s="197"/>
      <c r="G33" s="197"/>
      <c r="H33" s="197"/>
      <c r="I33" s="197"/>
      <c r="J33" s="200"/>
    </row>
    <row r="34" spans="1:10" ht="15" customHeight="1" x14ac:dyDescent="0.2">
      <c r="A34" s="119" t="s">
        <v>256</v>
      </c>
      <c r="B34" s="228" t="s">
        <v>452</v>
      </c>
      <c r="C34" s="197"/>
      <c r="D34" s="197"/>
      <c r="E34" s="197"/>
      <c r="F34" s="197"/>
      <c r="G34" s="197"/>
      <c r="H34" s="197"/>
      <c r="I34" s="200"/>
      <c r="J34" s="120" t="s">
        <v>258</v>
      </c>
    </row>
    <row r="35" spans="1:10" ht="27" customHeight="1" x14ac:dyDescent="0.2">
      <c r="A35" s="121" t="s">
        <v>185</v>
      </c>
      <c r="B35" s="213" t="s">
        <v>453</v>
      </c>
      <c r="C35" s="197"/>
      <c r="D35" s="197"/>
      <c r="E35" s="197"/>
      <c r="F35" s="197"/>
      <c r="G35" s="197"/>
      <c r="H35" s="200"/>
      <c r="I35" s="122">
        <v>8.3299999999999999E-2</v>
      </c>
      <c r="J35" s="123">
        <f t="shared" ref="J35:J36" si="0">ROUND($J$30*I35,2)</f>
        <v>72.91</v>
      </c>
    </row>
    <row r="36" spans="1:10" ht="36" customHeight="1" x14ac:dyDescent="0.2">
      <c r="A36" s="121" t="s">
        <v>187</v>
      </c>
      <c r="B36" s="229" t="s">
        <v>454</v>
      </c>
      <c r="C36" s="197"/>
      <c r="D36" s="197"/>
      <c r="E36" s="197"/>
      <c r="F36" s="197"/>
      <c r="G36" s="197"/>
      <c r="H36" s="200"/>
      <c r="I36" s="124">
        <v>3.0249999999999999E-2</v>
      </c>
      <c r="J36" s="123">
        <f t="shared" si="0"/>
        <v>26.48</v>
      </c>
    </row>
    <row r="37" spans="1:10" ht="12.75" customHeight="1" x14ac:dyDescent="0.2">
      <c r="A37" s="230" t="s">
        <v>261</v>
      </c>
      <c r="B37" s="197"/>
      <c r="C37" s="197"/>
      <c r="D37" s="197"/>
      <c r="E37" s="197"/>
      <c r="F37" s="197"/>
      <c r="G37" s="197"/>
      <c r="H37" s="197"/>
      <c r="I37" s="200"/>
      <c r="J37" s="123">
        <f>SUM(J35+J36)</f>
        <v>99.39</v>
      </c>
    </row>
    <row r="38" spans="1:10" ht="12.75" customHeight="1" x14ac:dyDescent="0.2">
      <c r="A38" s="125" t="s">
        <v>190</v>
      </c>
      <c r="B38" s="231" t="s">
        <v>262</v>
      </c>
      <c r="C38" s="197"/>
      <c r="D38" s="197"/>
      <c r="E38" s="197"/>
      <c r="F38" s="197"/>
      <c r="G38" s="197"/>
      <c r="H38" s="197"/>
      <c r="I38" s="200"/>
      <c r="J38" s="126">
        <f>ROUND(I51*J37,2)</f>
        <v>36.58</v>
      </c>
    </row>
    <row r="39" spans="1:10" ht="12.75" customHeight="1" x14ac:dyDescent="0.2">
      <c r="A39" s="232" t="s">
        <v>261</v>
      </c>
      <c r="B39" s="197"/>
      <c r="C39" s="197"/>
      <c r="D39" s="197"/>
      <c r="E39" s="197"/>
      <c r="F39" s="197"/>
      <c r="G39" s="197"/>
      <c r="H39" s="197"/>
      <c r="I39" s="200"/>
      <c r="J39" s="127">
        <f>J37+J38</f>
        <v>135.97</v>
      </c>
    </row>
    <row r="40" spans="1:10" ht="12.75" customHeight="1" x14ac:dyDescent="0.2">
      <c r="A40" s="225"/>
      <c r="B40" s="197"/>
      <c r="C40" s="197"/>
      <c r="D40" s="197"/>
      <c r="E40" s="197"/>
      <c r="F40" s="197"/>
      <c r="G40" s="197"/>
      <c r="H40" s="197"/>
      <c r="I40" s="197"/>
      <c r="J40" s="200"/>
    </row>
    <row r="41" spans="1:10" ht="30" customHeight="1" x14ac:dyDescent="0.2">
      <c r="A41" s="226" t="s">
        <v>263</v>
      </c>
      <c r="B41" s="197"/>
      <c r="C41" s="197"/>
      <c r="D41" s="197"/>
      <c r="E41" s="197"/>
      <c r="F41" s="197"/>
      <c r="G41" s="197"/>
      <c r="H41" s="197"/>
      <c r="I41" s="197"/>
      <c r="J41" s="200"/>
    </row>
    <row r="42" spans="1:10" ht="30" customHeight="1" x14ac:dyDescent="0.2">
      <c r="A42" s="128" t="s">
        <v>264</v>
      </c>
      <c r="B42" s="233" t="s">
        <v>265</v>
      </c>
      <c r="C42" s="197"/>
      <c r="D42" s="197"/>
      <c r="E42" s="197"/>
      <c r="F42" s="197"/>
      <c r="G42" s="197"/>
      <c r="H42" s="200"/>
      <c r="I42" s="113" t="s">
        <v>266</v>
      </c>
      <c r="J42" s="113" t="s">
        <v>267</v>
      </c>
    </row>
    <row r="43" spans="1:10" ht="12.75" customHeight="1" x14ac:dyDescent="0.2">
      <c r="A43" s="121" t="s">
        <v>185</v>
      </c>
      <c r="B43" s="231" t="s">
        <v>268</v>
      </c>
      <c r="C43" s="197"/>
      <c r="D43" s="197"/>
      <c r="E43" s="197"/>
      <c r="F43" s="197"/>
      <c r="G43" s="197"/>
      <c r="H43" s="200"/>
      <c r="I43" s="129">
        <v>0.2</v>
      </c>
      <c r="J43" s="130">
        <f t="shared" ref="J43:J50" si="1">ROUND($J$30*I43,2)</f>
        <v>175.06</v>
      </c>
    </row>
    <row r="44" spans="1:10" ht="12.75" customHeight="1" x14ac:dyDescent="0.2">
      <c r="A44" s="121" t="s">
        <v>187</v>
      </c>
      <c r="B44" s="231" t="s">
        <v>269</v>
      </c>
      <c r="C44" s="197"/>
      <c r="D44" s="197"/>
      <c r="E44" s="197"/>
      <c r="F44" s="197"/>
      <c r="G44" s="197"/>
      <c r="H44" s="200"/>
      <c r="I44" s="129">
        <v>2.5000000000000001E-2</v>
      </c>
      <c r="J44" s="130">
        <f t="shared" si="1"/>
        <v>21.88</v>
      </c>
    </row>
    <row r="45" spans="1:10" ht="12.75" customHeight="1" x14ac:dyDescent="0.2">
      <c r="A45" s="121" t="s">
        <v>190</v>
      </c>
      <c r="B45" s="231" t="s">
        <v>270</v>
      </c>
      <c r="C45" s="197"/>
      <c r="D45" s="200"/>
      <c r="E45" s="131" t="s">
        <v>271</v>
      </c>
      <c r="F45" s="132">
        <v>0.03</v>
      </c>
      <c r="G45" s="131" t="s">
        <v>272</v>
      </c>
      <c r="H45" s="133">
        <v>1</v>
      </c>
      <c r="I45" s="134">
        <f>ROUND((F45*H45),6)</f>
        <v>0.03</v>
      </c>
      <c r="J45" s="130">
        <f t="shared" si="1"/>
        <v>26.26</v>
      </c>
    </row>
    <row r="46" spans="1:10" ht="12.75" customHeight="1" x14ac:dyDescent="0.2">
      <c r="A46" s="121" t="s">
        <v>192</v>
      </c>
      <c r="B46" s="231" t="s">
        <v>273</v>
      </c>
      <c r="C46" s="197"/>
      <c r="D46" s="197"/>
      <c r="E46" s="197"/>
      <c r="F46" s="197"/>
      <c r="G46" s="197"/>
      <c r="H46" s="200"/>
      <c r="I46" s="129">
        <v>1.4999999999999999E-2</v>
      </c>
      <c r="J46" s="130">
        <f t="shared" si="1"/>
        <v>13.13</v>
      </c>
    </row>
    <row r="47" spans="1:10" ht="12.75" customHeight="1" x14ac:dyDescent="0.2">
      <c r="A47" s="121" t="s">
        <v>250</v>
      </c>
      <c r="B47" s="231" t="s">
        <v>274</v>
      </c>
      <c r="C47" s="197"/>
      <c r="D47" s="197"/>
      <c r="E47" s="197"/>
      <c r="F47" s="197"/>
      <c r="G47" s="197"/>
      <c r="H47" s="200"/>
      <c r="I47" s="129">
        <v>0.01</v>
      </c>
      <c r="J47" s="130">
        <f t="shared" si="1"/>
        <v>8.75</v>
      </c>
    </row>
    <row r="48" spans="1:10" ht="12.75" customHeight="1" x14ac:dyDescent="0.2">
      <c r="A48" s="121" t="s">
        <v>275</v>
      </c>
      <c r="B48" s="231" t="s">
        <v>276</v>
      </c>
      <c r="C48" s="197"/>
      <c r="D48" s="197"/>
      <c r="E48" s="197"/>
      <c r="F48" s="197"/>
      <c r="G48" s="197"/>
      <c r="H48" s="200"/>
      <c r="I48" s="129">
        <v>6.0000000000000001E-3</v>
      </c>
      <c r="J48" s="130">
        <f t="shared" si="1"/>
        <v>5.25</v>
      </c>
    </row>
    <row r="49" spans="1:11" ht="12.75" customHeight="1" x14ac:dyDescent="0.2">
      <c r="A49" s="121" t="s">
        <v>277</v>
      </c>
      <c r="B49" s="231" t="s">
        <v>278</v>
      </c>
      <c r="C49" s="197"/>
      <c r="D49" s="197"/>
      <c r="E49" s="197"/>
      <c r="F49" s="197"/>
      <c r="G49" s="197"/>
      <c r="H49" s="200"/>
      <c r="I49" s="129">
        <v>2E-3</v>
      </c>
      <c r="J49" s="130">
        <f t="shared" si="1"/>
        <v>1.75</v>
      </c>
    </row>
    <row r="50" spans="1:11" ht="12.75" customHeight="1" x14ac:dyDescent="0.2">
      <c r="A50" s="121" t="s">
        <v>279</v>
      </c>
      <c r="B50" s="231" t="s">
        <v>280</v>
      </c>
      <c r="C50" s="197"/>
      <c r="D50" s="197"/>
      <c r="E50" s="197"/>
      <c r="F50" s="197"/>
      <c r="G50" s="197"/>
      <c r="H50" s="200"/>
      <c r="I50" s="129">
        <v>0.08</v>
      </c>
      <c r="J50" s="130">
        <f t="shared" si="1"/>
        <v>70.02</v>
      </c>
    </row>
    <row r="51" spans="1:11" ht="12.75" customHeight="1" x14ac:dyDescent="0.2">
      <c r="A51" s="232" t="s">
        <v>261</v>
      </c>
      <c r="B51" s="197"/>
      <c r="C51" s="197"/>
      <c r="D51" s="197"/>
      <c r="E51" s="197"/>
      <c r="F51" s="197"/>
      <c r="G51" s="197"/>
      <c r="H51" s="200"/>
      <c r="I51" s="135">
        <f t="shared" ref="I51:J51" si="2">SUM(I43:I50)</f>
        <v>0.36800000000000005</v>
      </c>
      <c r="J51" s="127">
        <f t="shared" si="2"/>
        <v>322.09999999999997</v>
      </c>
    </row>
    <row r="52" spans="1:11" ht="12.75" customHeight="1" x14ac:dyDescent="0.2">
      <c r="A52" s="225"/>
      <c r="B52" s="197"/>
      <c r="C52" s="197"/>
      <c r="D52" s="197"/>
      <c r="E52" s="197"/>
      <c r="F52" s="197"/>
      <c r="G52" s="197"/>
      <c r="H52" s="197"/>
      <c r="I52" s="197"/>
      <c r="J52" s="200"/>
    </row>
    <row r="53" spans="1:11" ht="15.75" customHeight="1" x14ac:dyDescent="0.2">
      <c r="A53" s="226" t="s">
        <v>281</v>
      </c>
      <c r="B53" s="197"/>
      <c r="C53" s="197"/>
      <c r="D53" s="197"/>
      <c r="E53" s="197"/>
      <c r="F53" s="197"/>
      <c r="G53" s="197"/>
      <c r="H53" s="197"/>
      <c r="I53" s="197"/>
      <c r="J53" s="200"/>
    </row>
    <row r="54" spans="1:11" ht="15.75" customHeight="1" x14ac:dyDescent="0.2">
      <c r="A54" s="128" t="s">
        <v>282</v>
      </c>
      <c r="B54" s="233" t="s">
        <v>283</v>
      </c>
      <c r="C54" s="197"/>
      <c r="D54" s="197"/>
      <c r="E54" s="197"/>
      <c r="F54" s="197"/>
      <c r="G54" s="197"/>
      <c r="H54" s="197"/>
      <c r="I54" s="200"/>
      <c r="J54" s="113" t="s">
        <v>258</v>
      </c>
    </row>
    <row r="55" spans="1:11" ht="12.75" customHeight="1" x14ac:dyDescent="0.2">
      <c r="A55" s="121" t="s">
        <v>185</v>
      </c>
      <c r="B55" s="231" t="s">
        <v>455</v>
      </c>
      <c r="C55" s="197"/>
      <c r="D55" s="197"/>
      <c r="E55" s="197"/>
      <c r="F55" s="197"/>
      <c r="G55" s="197"/>
      <c r="H55" s="197"/>
      <c r="I55" s="200"/>
      <c r="J55" s="130">
        <f>IF(ROUND((I58*I56*I57)-(J24*I59),2)&lt;0,0,ROUND((I58*I56*I57)-(J24*I59),2))</f>
        <v>145.47999999999999</v>
      </c>
    </row>
    <row r="56" spans="1:11" ht="12.75" customHeight="1" x14ac:dyDescent="0.2">
      <c r="A56" s="121"/>
      <c r="B56" s="244" t="s">
        <v>285</v>
      </c>
      <c r="C56" s="197"/>
      <c r="D56" s="197"/>
      <c r="E56" s="197"/>
      <c r="F56" s="197"/>
      <c r="G56" s="197"/>
      <c r="H56" s="200"/>
      <c r="I56" s="136">
        <v>4.5</v>
      </c>
      <c r="J56" s="137" t="s">
        <v>286</v>
      </c>
    </row>
    <row r="57" spans="1:11" ht="12.75" customHeight="1" x14ac:dyDescent="0.2">
      <c r="A57" s="121"/>
      <c r="B57" s="244" t="s">
        <v>287</v>
      </c>
      <c r="C57" s="197"/>
      <c r="D57" s="197"/>
      <c r="E57" s="197"/>
      <c r="F57" s="197"/>
      <c r="G57" s="197"/>
      <c r="H57" s="200"/>
      <c r="I57" s="138">
        <v>2</v>
      </c>
      <c r="J57" s="137"/>
    </row>
    <row r="58" spans="1:11" ht="12.75" customHeight="1" x14ac:dyDescent="0.2">
      <c r="A58" s="121"/>
      <c r="B58" s="244" t="s">
        <v>288</v>
      </c>
      <c r="C58" s="197"/>
      <c r="D58" s="197"/>
      <c r="E58" s="197"/>
      <c r="F58" s="197"/>
      <c r="G58" s="197"/>
      <c r="H58" s="200"/>
      <c r="I58" s="139">
        <v>22</v>
      </c>
      <c r="J58" s="137"/>
    </row>
    <row r="59" spans="1:11" ht="12.75" customHeight="1" x14ac:dyDescent="0.2">
      <c r="A59" s="121"/>
      <c r="B59" s="244" t="s">
        <v>456</v>
      </c>
      <c r="C59" s="197"/>
      <c r="D59" s="197"/>
      <c r="E59" s="197"/>
      <c r="F59" s="197"/>
      <c r="G59" s="197"/>
      <c r="H59" s="200"/>
      <c r="I59" s="140">
        <v>0.06</v>
      </c>
      <c r="J59" s="137"/>
    </row>
    <row r="60" spans="1:11" ht="12.75" customHeight="1" x14ac:dyDescent="0.2">
      <c r="A60" s="121" t="s">
        <v>187</v>
      </c>
      <c r="B60" s="231" t="s">
        <v>457</v>
      </c>
      <c r="C60" s="197"/>
      <c r="D60" s="197"/>
      <c r="E60" s="197"/>
      <c r="F60" s="197"/>
      <c r="G60" s="197"/>
      <c r="H60" s="197"/>
      <c r="I60" s="200"/>
      <c r="J60" s="130">
        <f>ROUND(I62*I61*(1-I63),2)</f>
        <v>210.99</v>
      </c>
      <c r="K60" s="163"/>
    </row>
    <row r="61" spans="1:11" ht="12.75" customHeight="1" x14ac:dyDescent="0.2">
      <c r="A61" s="121"/>
      <c r="B61" s="244" t="s">
        <v>458</v>
      </c>
      <c r="C61" s="197"/>
      <c r="D61" s="197"/>
      <c r="E61" s="197"/>
      <c r="F61" s="197"/>
      <c r="G61" s="197"/>
      <c r="H61" s="200"/>
      <c r="I61" s="136">
        <v>11.84</v>
      </c>
      <c r="J61" s="137" t="s">
        <v>286</v>
      </c>
    </row>
    <row r="62" spans="1:11" ht="12.75" customHeight="1" x14ac:dyDescent="0.2">
      <c r="A62" s="141"/>
      <c r="B62" s="244" t="s">
        <v>383</v>
      </c>
      <c r="C62" s="197"/>
      <c r="D62" s="197"/>
      <c r="E62" s="197"/>
      <c r="F62" s="197"/>
      <c r="G62" s="197"/>
      <c r="H62" s="200"/>
      <c r="I62" s="139">
        <v>22</v>
      </c>
      <c r="J62" s="137"/>
    </row>
    <row r="63" spans="1:11" ht="12.75" customHeight="1" x14ac:dyDescent="0.2">
      <c r="A63" s="141"/>
      <c r="B63" s="244" t="s">
        <v>383</v>
      </c>
      <c r="C63" s="197"/>
      <c r="D63" s="197"/>
      <c r="E63" s="197"/>
      <c r="F63" s="197"/>
      <c r="G63" s="197"/>
      <c r="H63" s="200"/>
      <c r="I63" s="142">
        <v>0.19</v>
      </c>
      <c r="J63" s="137"/>
    </row>
    <row r="64" spans="1:11" ht="12.75" customHeight="1" x14ac:dyDescent="0.2">
      <c r="A64" s="121" t="s">
        <v>190</v>
      </c>
      <c r="B64" s="213" t="s">
        <v>293</v>
      </c>
      <c r="C64" s="197"/>
      <c r="D64" s="197"/>
      <c r="E64" s="197"/>
      <c r="F64" s="197"/>
      <c r="G64" s="197"/>
      <c r="H64" s="197"/>
      <c r="I64" s="200"/>
      <c r="J64" s="130">
        <v>0</v>
      </c>
    </row>
    <row r="65" spans="1:10" ht="12.75" customHeight="1" x14ac:dyDescent="0.2">
      <c r="A65" s="121" t="s">
        <v>192</v>
      </c>
      <c r="B65" s="213" t="s">
        <v>459</v>
      </c>
      <c r="C65" s="197"/>
      <c r="D65" s="197"/>
      <c r="E65" s="197"/>
      <c r="F65" s="197"/>
      <c r="G65" s="197"/>
      <c r="H65" s="197"/>
      <c r="I65" s="200"/>
      <c r="J65" s="152">
        <v>19.420000000000002</v>
      </c>
    </row>
    <row r="66" spans="1:10" ht="12.75" customHeight="1" x14ac:dyDescent="0.2">
      <c r="A66" s="232" t="s">
        <v>253</v>
      </c>
      <c r="B66" s="197"/>
      <c r="C66" s="197"/>
      <c r="D66" s="197"/>
      <c r="E66" s="197"/>
      <c r="F66" s="197"/>
      <c r="G66" s="197"/>
      <c r="H66" s="197"/>
      <c r="I66" s="200"/>
      <c r="J66" s="127">
        <f>SUM(J55:J65)</f>
        <v>375.89000000000004</v>
      </c>
    </row>
    <row r="67" spans="1:10" ht="12.75" customHeight="1" x14ac:dyDescent="0.2">
      <c r="A67" s="225"/>
      <c r="B67" s="197"/>
      <c r="C67" s="197"/>
      <c r="D67" s="197"/>
      <c r="E67" s="197"/>
      <c r="F67" s="197"/>
      <c r="G67" s="197"/>
      <c r="H67" s="197"/>
      <c r="I67" s="197"/>
      <c r="J67" s="200"/>
    </row>
    <row r="68" spans="1:10" ht="15.75" customHeight="1" x14ac:dyDescent="0.2">
      <c r="A68" s="226" t="s">
        <v>294</v>
      </c>
      <c r="B68" s="197"/>
      <c r="C68" s="197"/>
      <c r="D68" s="197"/>
      <c r="E68" s="197"/>
      <c r="F68" s="197"/>
      <c r="G68" s="197"/>
      <c r="H68" s="197"/>
      <c r="I68" s="197"/>
      <c r="J68" s="200"/>
    </row>
    <row r="69" spans="1:10" ht="15.75" customHeight="1" x14ac:dyDescent="0.2">
      <c r="A69" s="113">
        <v>2</v>
      </c>
      <c r="B69" s="240" t="s">
        <v>295</v>
      </c>
      <c r="C69" s="197"/>
      <c r="D69" s="197"/>
      <c r="E69" s="197"/>
      <c r="F69" s="197"/>
      <c r="G69" s="197"/>
      <c r="H69" s="197"/>
      <c r="I69" s="200"/>
      <c r="J69" s="113" t="s">
        <v>258</v>
      </c>
    </row>
    <row r="70" spans="1:10" ht="14.25" customHeight="1" x14ac:dyDescent="0.2">
      <c r="A70" s="87" t="s">
        <v>256</v>
      </c>
      <c r="B70" s="87"/>
      <c r="C70" s="213" t="s">
        <v>460</v>
      </c>
      <c r="D70" s="197"/>
      <c r="E70" s="197"/>
      <c r="F70" s="197"/>
      <c r="G70" s="197"/>
      <c r="H70" s="197"/>
      <c r="I70" s="200"/>
      <c r="J70" s="143">
        <f>J39</f>
        <v>135.97</v>
      </c>
    </row>
    <row r="71" spans="1:10" ht="14.25" customHeight="1" x14ac:dyDescent="0.2">
      <c r="A71" s="87" t="s">
        <v>264</v>
      </c>
      <c r="B71" s="87"/>
      <c r="C71" s="213" t="s">
        <v>265</v>
      </c>
      <c r="D71" s="197"/>
      <c r="E71" s="197"/>
      <c r="F71" s="197"/>
      <c r="G71" s="197"/>
      <c r="H71" s="197"/>
      <c r="I71" s="200"/>
      <c r="J71" s="143">
        <f>J51</f>
        <v>322.09999999999997</v>
      </c>
    </row>
    <row r="72" spans="1:10" ht="14.25" customHeight="1" x14ac:dyDescent="0.2">
      <c r="A72" s="87" t="s">
        <v>282</v>
      </c>
      <c r="B72" s="87"/>
      <c r="C72" s="213" t="s">
        <v>283</v>
      </c>
      <c r="D72" s="197"/>
      <c r="E72" s="197"/>
      <c r="F72" s="197"/>
      <c r="G72" s="197"/>
      <c r="H72" s="197"/>
      <c r="I72" s="200"/>
      <c r="J72" s="143">
        <f>J66</f>
        <v>375.89000000000004</v>
      </c>
    </row>
    <row r="73" spans="1:10" ht="14.25" customHeight="1" x14ac:dyDescent="0.2">
      <c r="A73" s="243" t="s">
        <v>261</v>
      </c>
      <c r="B73" s="197"/>
      <c r="C73" s="197"/>
      <c r="D73" s="197"/>
      <c r="E73" s="197"/>
      <c r="F73" s="197"/>
      <c r="G73" s="197"/>
      <c r="H73" s="197"/>
      <c r="I73" s="200"/>
      <c r="J73" s="144">
        <f>SUM(J70+J71+J72)</f>
        <v>833.96</v>
      </c>
    </row>
    <row r="74" spans="1:10" ht="12.75" customHeight="1" x14ac:dyDescent="0.2">
      <c r="A74" s="225"/>
      <c r="B74" s="197"/>
      <c r="C74" s="197"/>
      <c r="D74" s="197"/>
      <c r="E74" s="197"/>
      <c r="F74" s="197"/>
      <c r="G74" s="197"/>
      <c r="H74" s="197"/>
      <c r="I74" s="197"/>
      <c r="J74" s="200"/>
    </row>
    <row r="75" spans="1:10" ht="15.75" customHeight="1" x14ac:dyDescent="0.2">
      <c r="A75" s="226" t="s">
        <v>297</v>
      </c>
      <c r="B75" s="197"/>
      <c r="C75" s="197"/>
      <c r="D75" s="197"/>
      <c r="E75" s="197"/>
      <c r="F75" s="197"/>
      <c r="G75" s="197"/>
      <c r="H75" s="197"/>
      <c r="I75" s="197"/>
      <c r="J75" s="200"/>
    </row>
    <row r="76" spans="1:10" ht="15.75" customHeight="1" x14ac:dyDescent="0.2">
      <c r="A76" s="128">
        <v>3</v>
      </c>
      <c r="B76" s="240" t="s">
        <v>298</v>
      </c>
      <c r="C76" s="197"/>
      <c r="D76" s="197"/>
      <c r="E76" s="197"/>
      <c r="F76" s="197"/>
      <c r="G76" s="197"/>
      <c r="H76" s="197"/>
      <c r="I76" s="200"/>
      <c r="J76" s="128" t="s">
        <v>299</v>
      </c>
    </row>
    <row r="77" spans="1:10" ht="46.5" customHeight="1" x14ac:dyDescent="0.2">
      <c r="A77" s="121" t="s">
        <v>185</v>
      </c>
      <c r="B77" s="213" t="s">
        <v>461</v>
      </c>
      <c r="C77" s="197"/>
      <c r="D77" s="197"/>
      <c r="E77" s="197"/>
      <c r="F77" s="197"/>
      <c r="G77" s="197"/>
      <c r="H77" s="197"/>
      <c r="I77" s="200"/>
      <c r="J77" s="130">
        <f>ROUND((($J$30/12)+($J$35/12)+($J$30*0.121/12))*(30/30)*0.05,2)</f>
        <v>4.3899999999999997</v>
      </c>
    </row>
    <row r="78" spans="1:10" ht="14.25" customHeight="1" x14ac:dyDescent="0.2">
      <c r="A78" s="121" t="s">
        <v>187</v>
      </c>
      <c r="B78" s="213" t="s">
        <v>301</v>
      </c>
      <c r="C78" s="197"/>
      <c r="D78" s="197"/>
      <c r="E78" s="197"/>
      <c r="F78" s="197"/>
      <c r="G78" s="197"/>
      <c r="H78" s="197"/>
      <c r="I78" s="200"/>
      <c r="J78" s="130">
        <f>ROUND($J$77*I50,2)</f>
        <v>0.35</v>
      </c>
    </row>
    <row r="79" spans="1:10" ht="27" customHeight="1" x14ac:dyDescent="0.2">
      <c r="A79" s="121" t="s">
        <v>190</v>
      </c>
      <c r="B79" s="213" t="s">
        <v>462</v>
      </c>
      <c r="C79" s="197"/>
      <c r="D79" s="197"/>
      <c r="E79" s="197"/>
      <c r="F79" s="197"/>
      <c r="G79" s="197"/>
      <c r="H79" s="197"/>
      <c r="I79" s="200"/>
      <c r="J79" s="130">
        <f>ROUND(((($J$30/30)*7)/$H$11)*1,2)</f>
        <v>3.4</v>
      </c>
    </row>
    <row r="80" spans="1:10" ht="14.25" customHeight="1" x14ac:dyDescent="0.2">
      <c r="A80" s="121" t="s">
        <v>192</v>
      </c>
      <c r="B80" s="213" t="s">
        <v>303</v>
      </c>
      <c r="C80" s="197"/>
      <c r="D80" s="197"/>
      <c r="E80" s="197"/>
      <c r="F80" s="197"/>
      <c r="G80" s="197"/>
      <c r="H80" s="197"/>
      <c r="I80" s="200"/>
      <c r="J80" s="130">
        <f>ROUND($I$51*J79,2)</f>
        <v>1.25</v>
      </c>
    </row>
    <row r="81" spans="1:10" ht="36" customHeight="1" x14ac:dyDescent="0.2">
      <c r="A81" s="121" t="s">
        <v>250</v>
      </c>
      <c r="B81" s="213" t="s">
        <v>463</v>
      </c>
      <c r="C81" s="197"/>
      <c r="D81" s="197"/>
      <c r="E81" s="197"/>
      <c r="F81" s="197"/>
      <c r="G81" s="197"/>
      <c r="H81" s="200"/>
      <c r="I81" s="145">
        <v>0.04</v>
      </c>
      <c r="J81" s="130">
        <f>ROUND($J$30*I81,2)</f>
        <v>35.01</v>
      </c>
    </row>
    <row r="82" spans="1:10" ht="12.75" customHeight="1" x14ac:dyDescent="0.2">
      <c r="A82" s="232" t="s">
        <v>261</v>
      </c>
      <c r="B82" s="197"/>
      <c r="C82" s="197"/>
      <c r="D82" s="197"/>
      <c r="E82" s="197"/>
      <c r="F82" s="197"/>
      <c r="G82" s="197"/>
      <c r="H82" s="197"/>
      <c r="I82" s="200"/>
      <c r="J82" s="127">
        <f>SUM(J77:J81)</f>
        <v>44.4</v>
      </c>
    </row>
    <row r="83" spans="1:10" ht="12.75" customHeight="1" x14ac:dyDescent="0.2">
      <c r="A83" s="225"/>
      <c r="B83" s="197"/>
      <c r="C83" s="197"/>
      <c r="D83" s="197"/>
      <c r="E83" s="197"/>
      <c r="F83" s="197"/>
      <c r="G83" s="197"/>
      <c r="H83" s="197"/>
      <c r="I83" s="197"/>
      <c r="J83" s="200"/>
    </row>
    <row r="84" spans="1:10" ht="15.75" customHeight="1" x14ac:dyDescent="0.2">
      <c r="A84" s="226" t="s">
        <v>305</v>
      </c>
      <c r="B84" s="197"/>
      <c r="C84" s="197"/>
      <c r="D84" s="197"/>
      <c r="E84" s="197"/>
      <c r="F84" s="197"/>
      <c r="G84" s="197"/>
      <c r="H84" s="197"/>
      <c r="I84" s="197"/>
      <c r="J84" s="200"/>
    </row>
    <row r="85" spans="1:10" ht="15" customHeight="1" x14ac:dyDescent="0.2">
      <c r="A85" s="245" t="s">
        <v>306</v>
      </c>
      <c r="B85" s="197"/>
      <c r="C85" s="197"/>
      <c r="D85" s="197"/>
      <c r="E85" s="197"/>
      <c r="F85" s="197"/>
      <c r="G85" s="197"/>
      <c r="H85" s="197"/>
      <c r="I85" s="200"/>
      <c r="J85" s="146">
        <f>J88+J30+J35+J36</f>
        <v>1054.1100000000001</v>
      </c>
    </row>
    <row r="86" spans="1:10" ht="14.25" customHeight="1" x14ac:dyDescent="0.2">
      <c r="A86" s="246"/>
      <c r="B86" s="197"/>
      <c r="C86" s="197"/>
      <c r="D86" s="197"/>
      <c r="E86" s="197"/>
      <c r="F86" s="197"/>
      <c r="G86" s="197"/>
      <c r="H86" s="197"/>
      <c r="I86" s="197"/>
      <c r="J86" s="200"/>
    </row>
    <row r="87" spans="1:10" ht="15" customHeight="1" x14ac:dyDescent="0.25">
      <c r="A87" s="147" t="s">
        <v>307</v>
      </c>
      <c r="B87" s="233" t="s">
        <v>308</v>
      </c>
      <c r="C87" s="197"/>
      <c r="D87" s="197"/>
      <c r="E87" s="197"/>
      <c r="F87" s="197"/>
      <c r="G87" s="197"/>
      <c r="H87" s="197"/>
      <c r="I87" s="200"/>
      <c r="J87" s="147" t="s">
        <v>258</v>
      </c>
    </row>
    <row r="88" spans="1:10" ht="12.75" customHeight="1" x14ac:dyDescent="0.2">
      <c r="A88" s="125" t="s">
        <v>185</v>
      </c>
      <c r="B88" s="213" t="s">
        <v>309</v>
      </c>
      <c r="C88" s="197"/>
      <c r="D88" s="197"/>
      <c r="E88" s="197"/>
      <c r="F88" s="197"/>
      <c r="G88" s="197"/>
      <c r="H88" s="200"/>
      <c r="I88" s="124">
        <v>9.0749999999999997E-2</v>
      </c>
      <c r="J88" s="130">
        <f>ROUND(($J$30*I88),2)</f>
        <v>79.430000000000007</v>
      </c>
    </row>
    <row r="89" spans="1:10" ht="12.75" customHeight="1" x14ac:dyDescent="0.2">
      <c r="A89" s="125" t="s">
        <v>187</v>
      </c>
      <c r="B89" s="231" t="s">
        <v>464</v>
      </c>
      <c r="C89" s="197"/>
      <c r="D89" s="197"/>
      <c r="E89" s="197"/>
      <c r="F89" s="197"/>
      <c r="G89" s="197"/>
      <c r="H89" s="197"/>
      <c r="I89" s="200"/>
      <c r="J89" s="148">
        <f>ROUND((($J$85/30)*2.96)/12,2)</f>
        <v>8.67</v>
      </c>
    </row>
    <row r="90" spans="1:10" ht="12.75" customHeight="1" x14ac:dyDescent="0.2">
      <c r="A90" s="125" t="s">
        <v>190</v>
      </c>
      <c r="B90" s="231" t="s">
        <v>465</v>
      </c>
      <c r="C90" s="197"/>
      <c r="D90" s="197"/>
      <c r="E90" s="197"/>
      <c r="F90" s="197"/>
      <c r="G90" s="197"/>
      <c r="H90" s="197"/>
      <c r="I90" s="200"/>
      <c r="J90" s="148">
        <f>ROUND((($J$85/30)*5)/12*0.015,2)</f>
        <v>0.22</v>
      </c>
    </row>
    <row r="91" spans="1:10" ht="12.75" customHeight="1" x14ac:dyDescent="0.2">
      <c r="A91" s="125" t="s">
        <v>192</v>
      </c>
      <c r="B91" s="231" t="s">
        <v>466</v>
      </c>
      <c r="C91" s="197"/>
      <c r="D91" s="197"/>
      <c r="E91" s="197"/>
      <c r="F91" s="197"/>
      <c r="G91" s="197"/>
      <c r="H91" s="197"/>
      <c r="I91" s="200"/>
      <c r="J91" s="126">
        <f>ROUND(((($J$85/30)*0.97)/12),2)</f>
        <v>2.84</v>
      </c>
    </row>
    <row r="92" spans="1:10" ht="12.75" customHeight="1" x14ac:dyDescent="0.2">
      <c r="A92" s="125" t="s">
        <v>250</v>
      </c>
      <c r="B92" s="213" t="s">
        <v>467</v>
      </c>
      <c r="C92" s="197"/>
      <c r="D92" s="197"/>
      <c r="E92" s="197"/>
      <c r="F92" s="197"/>
      <c r="G92" s="197"/>
      <c r="H92" s="197"/>
      <c r="I92" s="200"/>
      <c r="J92" s="130">
        <f>ROUND(((((J30*0.121)+(I51)*(J30*0.121))*(4/12)))*0.02,2)+ROUND(((I50*J30+I51*J35+J66-J55-J60+J82)*4/12)*0.02,2)</f>
        <v>2.04</v>
      </c>
    </row>
    <row r="93" spans="1:10" ht="12.75" customHeight="1" x14ac:dyDescent="0.2">
      <c r="A93" s="149" t="s">
        <v>275</v>
      </c>
      <c r="B93" s="247" t="s">
        <v>468</v>
      </c>
      <c r="C93" s="197"/>
      <c r="D93" s="197"/>
      <c r="E93" s="197"/>
      <c r="F93" s="197"/>
      <c r="G93" s="197"/>
      <c r="H93" s="197"/>
      <c r="I93" s="200"/>
      <c r="J93" s="126">
        <f>ROUND(((($J$85/30)*3)/12),2)</f>
        <v>8.7799999999999994</v>
      </c>
    </row>
    <row r="94" spans="1:10" ht="12.75" customHeight="1" x14ac:dyDescent="0.2">
      <c r="A94" s="232" t="s">
        <v>261</v>
      </c>
      <c r="B94" s="197"/>
      <c r="C94" s="197"/>
      <c r="D94" s="197"/>
      <c r="E94" s="197"/>
      <c r="F94" s="197"/>
      <c r="G94" s="197"/>
      <c r="H94" s="197"/>
      <c r="I94" s="200"/>
      <c r="J94" s="150">
        <f>SUM(J88:J93)</f>
        <v>101.98000000000002</v>
      </c>
    </row>
    <row r="95" spans="1:10" ht="14.25" customHeight="1" x14ac:dyDescent="0.2">
      <c r="A95" s="125" t="s">
        <v>277</v>
      </c>
      <c r="B95" s="231" t="s">
        <v>315</v>
      </c>
      <c r="C95" s="197"/>
      <c r="D95" s="197"/>
      <c r="E95" s="197"/>
      <c r="F95" s="197"/>
      <c r="G95" s="197"/>
      <c r="H95" s="197"/>
      <c r="I95" s="200"/>
      <c r="J95" s="126">
        <f>ROUND(I51*J94,2)</f>
        <v>37.53</v>
      </c>
    </row>
    <row r="96" spans="1:10" ht="12.75" customHeight="1" x14ac:dyDescent="0.2">
      <c r="A96" s="232" t="s">
        <v>261</v>
      </c>
      <c r="B96" s="197"/>
      <c r="C96" s="197"/>
      <c r="D96" s="197"/>
      <c r="E96" s="197"/>
      <c r="F96" s="197"/>
      <c r="G96" s="197"/>
      <c r="H96" s="197"/>
      <c r="I96" s="200"/>
      <c r="J96" s="127">
        <f>SUM(J94:J95)</f>
        <v>139.51000000000002</v>
      </c>
    </row>
    <row r="97" spans="1:10" ht="15.75" customHeight="1" x14ac:dyDescent="0.2">
      <c r="A97" s="226" t="s">
        <v>316</v>
      </c>
      <c r="B97" s="197"/>
      <c r="C97" s="197"/>
      <c r="D97" s="197"/>
      <c r="E97" s="197"/>
      <c r="F97" s="197"/>
      <c r="G97" s="197"/>
      <c r="H97" s="197"/>
      <c r="I97" s="197"/>
      <c r="J97" s="200"/>
    </row>
    <row r="98" spans="1:10" ht="15" customHeight="1" x14ac:dyDescent="0.2">
      <c r="A98" s="128" t="s">
        <v>317</v>
      </c>
      <c r="B98" s="233" t="s">
        <v>318</v>
      </c>
      <c r="C98" s="197"/>
      <c r="D98" s="197"/>
      <c r="E98" s="197"/>
      <c r="F98" s="197"/>
      <c r="G98" s="197"/>
      <c r="H98" s="197"/>
      <c r="I98" s="200"/>
      <c r="J98" s="151" t="s">
        <v>258</v>
      </c>
    </row>
    <row r="99" spans="1:10" ht="12.75" customHeight="1" x14ac:dyDescent="0.2">
      <c r="A99" s="121" t="s">
        <v>185</v>
      </c>
      <c r="B99" s="231" t="s">
        <v>319</v>
      </c>
      <c r="C99" s="197"/>
      <c r="D99" s="197"/>
      <c r="E99" s="197"/>
      <c r="F99" s="197"/>
      <c r="G99" s="197"/>
      <c r="H99" s="197"/>
      <c r="I99" s="200"/>
      <c r="J99" s="130">
        <v>0</v>
      </c>
    </row>
    <row r="100" spans="1:10" ht="12.75" customHeight="1" x14ac:dyDescent="0.2">
      <c r="A100" s="248" t="s">
        <v>261</v>
      </c>
      <c r="B100" s="197"/>
      <c r="C100" s="197"/>
      <c r="D100" s="197"/>
      <c r="E100" s="197"/>
      <c r="F100" s="197"/>
      <c r="G100" s="197"/>
      <c r="H100" s="197"/>
      <c r="I100" s="200"/>
      <c r="J100" s="130">
        <v>0</v>
      </c>
    </row>
    <row r="101" spans="1:10" ht="12.75" customHeight="1" x14ac:dyDescent="0.2">
      <c r="A101" s="125" t="s">
        <v>187</v>
      </c>
      <c r="B101" s="231" t="s">
        <v>320</v>
      </c>
      <c r="C101" s="197"/>
      <c r="D101" s="197"/>
      <c r="E101" s="197"/>
      <c r="F101" s="197"/>
      <c r="G101" s="197"/>
      <c r="H101" s="197"/>
      <c r="I101" s="200"/>
      <c r="J101" s="126">
        <f>ROUND(I51*J100,2)</f>
        <v>0</v>
      </c>
    </row>
    <row r="102" spans="1:10" ht="12.75" customHeight="1" x14ac:dyDescent="0.2">
      <c r="A102" s="232" t="s">
        <v>261</v>
      </c>
      <c r="B102" s="197"/>
      <c r="C102" s="197"/>
      <c r="D102" s="197"/>
      <c r="E102" s="197"/>
      <c r="F102" s="197"/>
      <c r="G102" s="197"/>
      <c r="H102" s="197"/>
      <c r="I102" s="200"/>
      <c r="J102" s="127">
        <f>SUM(J100:J101)</f>
        <v>0</v>
      </c>
    </row>
    <row r="103" spans="1:10" ht="12.75" customHeight="1" x14ac:dyDescent="0.2">
      <c r="A103" s="256"/>
      <c r="B103" s="197"/>
      <c r="C103" s="197"/>
      <c r="D103" s="197"/>
      <c r="E103" s="197"/>
      <c r="F103" s="197"/>
      <c r="G103" s="197"/>
      <c r="H103" s="197"/>
      <c r="I103" s="197"/>
      <c r="J103" s="200"/>
    </row>
    <row r="104" spans="1:10" ht="15.75" customHeight="1" x14ac:dyDescent="0.2">
      <c r="A104" s="226" t="s">
        <v>321</v>
      </c>
      <c r="B104" s="197"/>
      <c r="C104" s="197"/>
      <c r="D104" s="197"/>
      <c r="E104" s="197"/>
      <c r="F104" s="197"/>
      <c r="G104" s="197"/>
      <c r="H104" s="197"/>
      <c r="I104" s="197"/>
      <c r="J104" s="200"/>
    </row>
    <row r="105" spans="1:10" ht="15.75" customHeight="1" x14ac:dyDescent="0.2">
      <c r="A105" s="113">
        <v>4</v>
      </c>
      <c r="B105" s="240" t="s">
        <v>322</v>
      </c>
      <c r="C105" s="197"/>
      <c r="D105" s="197"/>
      <c r="E105" s="197"/>
      <c r="F105" s="197"/>
      <c r="G105" s="197"/>
      <c r="H105" s="197"/>
      <c r="I105" s="200"/>
      <c r="J105" s="151" t="s">
        <v>258</v>
      </c>
    </row>
    <row r="106" spans="1:10" ht="14.25" customHeight="1" x14ac:dyDescent="0.2">
      <c r="A106" s="87" t="s">
        <v>307</v>
      </c>
      <c r="B106" s="213" t="s">
        <v>323</v>
      </c>
      <c r="C106" s="197"/>
      <c r="D106" s="197"/>
      <c r="E106" s="197"/>
      <c r="F106" s="197"/>
      <c r="G106" s="197"/>
      <c r="H106" s="197"/>
      <c r="I106" s="200"/>
      <c r="J106" s="130">
        <f>J96</f>
        <v>139.51000000000002</v>
      </c>
    </row>
    <row r="107" spans="1:10" ht="14.25" customHeight="1" x14ac:dyDescent="0.2">
      <c r="A107" s="87" t="s">
        <v>324</v>
      </c>
      <c r="B107" s="213" t="s">
        <v>325</v>
      </c>
      <c r="C107" s="197"/>
      <c r="D107" s="197"/>
      <c r="E107" s="197"/>
      <c r="F107" s="197"/>
      <c r="G107" s="197"/>
      <c r="H107" s="197"/>
      <c r="I107" s="200"/>
      <c r="J107" s="130">
        <f>J102</f>
        <v>0</v>
      </c>
    </row>
    <row r="108" spans="1:10" ht="14.25" customHeight="1" x14ac:dyDescent="0.2">
      <c r="A108" s="243" t="s">
        <v>261</v>
      </c>
      <c r="B108" s="197"/>
      <c r="C108" s="197"/>
      <c r="D108" s="197"/>
      <c r="E108" s="197"/>
      <c r="F108" s="197"/>
      <c r="G108" s="197"/>
      <c r="H108" s="197"/>
      <c r="I108" s="200"/>
      <c r="J108" s="127">
        <f>SUM(J106+J107)</f>
        <v>139.51000000000002</v>
      </c>
    </row>
    <row r="109" spans="1:10" ht="12.75" customHeight="1" x14ac:dyDescent="0.2">
      <c r="A109" s="225"/>
      <c r="B109" s="197"/>
      <c r="C109" s="197"/>
      <c r="D109" s="197"/>
      <c r="E109" s="197"/>
      <c r="F109" s="197"/>
      <c r="G109" s="197"/>
      <c r="H109" s="197"/>
      <c r="I109" s="197"/>
      <c r="J109" s="200"/>
    </row>
    <row r="110" spans="1:10" ht="15.75" customHeight="1" x14ac:dyDescent="0.2">
      <c r="A110" s="226" t="s">
        <v>326</v>
      </c>
      <c r="B110" s="197"/>
      <c r="C110" s="197"/>
      <c r="D110" s="197"/>
      <c r="E110" s="197"/>
      <c r="F110" s="197"/>
      <c r="G110" s="197"/>
      <c r="H110" s="197"/>
      <c r="I110" s="197"/>
      <c r="J110" s="200"/>
    </row>
    <row r="111" spans="1:10" ht="15.75" customHeight="1" x14ac:dyDescent="0.2">
      <c r="A111" s="128">
        <v>5</v>
      </c>
      <c r="B111" s="233" t="s">
        <v>327</v>
      </c>
      <c r="C111" s="197"/>
      <c r="D111" s="197"/>
      <c r="E111" s="197"/>
      <c r="F111" s="197"/>
      <c r="G111" s="197"/>
      <c r="H111" s="197"/>
      <c r="I111" s="200"/>
      <c r="J111" s="128" t="s">
        <v>258</v>
      </c>
    </row>
    <row r="112" spans="1:10" ht="12.75" customHeight="1" x14ac:dyDescent="0.2">
      <c r="A112" s="121" t="s">
        <v>185</v>
      </c>
      <c r="B112" s="231" t="s">
        <v>328</v>
      </c>
      <c r="C112" s="197"/>
      <c r="D112" s="197"/>
      <c r="E112" s="197"/>
      <c r="F112" s="197"/>
      <c r="G112" s="197"/>
      <c r="H112" s="197"/>
      <c r="I112" s="200"/>
      <c r="J112" s="130">
        <f>'INSUMOS - Gravataí'!D194</f>
        <v>183.86166666666668</v>
      </c>
    </row>
    <row r="113" spans="1:10" ht="12.75" customHeight="1" x14ac:dyDescent="0.2">
      <c r="A113" s="121" t="s">
        <v>187</v>
      </c>
      <c r="B113" s="231" t="s">
        <v>329</v>
      </c>
      <c r="C113" s="197"/>
      <c r="D113" s="197"/>
      <c r="E113" s="197"/>
      <c r="F113" s="197"/>
      <c r="G113" s="197"/>
      <c r="H113" s="197"/>
      <c r="I113" s="200"/>
      <c r="J113" s="152">
        <v>0</v>
      </c>
    </row>
    <row r="114" spans="1:10" ht="12.75" customHeight="1" x14ac:dyDescent="0.2">
      <c r="A114" s="121" t="s">
        <v>190</v>
      </c>
      <c r="B114" s="231" t="s">
        <v>330</v>
      </c>
      <c r="C114" s="197"/>
      <c r="D114" s="197"/>
      <c r="E114" s="197"/>
      <c r="F114" s="197"/>
      <c r="G114" s="197"/>
      <c r="H114" s="197"/>
      <c r="I114" s="200"/>
      <c r="J114" s="152">
        <v>0</v>
      </c>
    </row>
    <row r="115" spans="1:10" ht="12.75" customHeight="1" x14ac:dyDescent="0.2">
      <c r="A115" s="121" t="s">
        <v>192</v>
      </c>
      <c r="B115" s="231" t="s">
        <v>331</v>
      </c>
      <c r="C115" s="197"/>
      <c r="D115" s="197"/>
      <c r="E115" s="197"/>
      <c r="F115" s="197"/>
      <c r="G115" s="197"/>
      <c r="H115" s="197"/>
      <c r="I115" s="200"/>
      <c r="J115" s="152">
        <v>0</v>
      </c>
    </row>
    <row r="116" spans="1:10" ht="12.75" customHeight="1" x14ac:dyDescent="0.2">
      <c r="A116" s="232" t="s">
        <v>253</v>
      </c>
      <c r="B116" s="197"/>
      <c r="C116" s="197"/>
      <c r="D116" s="197"/>
      <c r="E116" s="197"/>
      <c r="F116" s="197"/>
      <c r="G116" s="197"/>
      <c r="H116" s="197"/>
      <c r="I116" s="200"/>
      <c r="J116" s="153">
        <f>SUM(J112:J115)</f>
        <v>183.86166666666668</v>
      </c>
    </row>
    <row r="117" spans="1:10" ht="12.75" customHeight="1" x14ac:dyDescent="0.2">
      <c r="A117" s="225"/>
      <c r="B117" s="197"/>
      <c r="C117" s="197"/>
      <c r="D117" s="197"/>
      <c r="E117" s="197"/>
      <c r="F117" s="197"/>
      <c r="G117" s="197"/>
      <c r="H117" s="197"/>
      <c r="I117" s="197"/>
      <c r="J117" s="200"/>
    </row>
    <row r="118" spans="1:10" ht="15.75" customHeight="1" x14ac:dyDescent="0.2">
      <c r="A118" s="226" t="s">
        <v>333</v>
      </c>
      <c r="B118" s="197"/>
      <c r="C118" s="197"/>
      <c r="D118" s="197"/>
      <c r="E118" s="197"/>
      <c r="F118" s="197"/>
      <c r="G118" s="197"/>
      <c r="H118" s="197"/>
      <c r="I118" s="197"/>
      <c r="J118" s="200"/>
    </row>
    <row r="119" spans="1:10" ht="30" customHeight="1" x14ac:dyDescent="0.2">
      <c r="A119" s="128">
        <v>6</v>
      </c>
      <c r="B119" s="233" t="s">
        <v>334</v>
      </c>
      <c r="C119" s="197"/>
      <c r="D119" s="197"/>
      <c r="E119" s="197"/>
      <c r="F119" s="197"/>
      <c r="G119" s="197"/>
      <c r="H119" s="200"/>
      <c r="I119" s="113" t="s">
        <v>266</v>
      </c>
      <c r="J119" s="154" t="s">
        <v>335</v>
      </c>
    </row>
    <row r="120" spans="1:10" ht="12.75" customHeight="1" x14ac:dyDescent="0.2">
      <c r="A120" s="229" t="s">
        <v>336</v>
      </c>
      <c r="B120" s="197"/>
      <c r="C120" s="197"/>
      <c r="D120" s="197"/>
      <c r="E120" s="197"/>
      <c r="F120" s="197"/>
      <c r="G120" s="197"/>
      <c r="H120" s="200"/>
      <c r="I120" s="155" t="s">
        <v>286</v>
      </c>
      <c r="J120" s="156">
        <f>SUM(J30+J73+J82+J108+J116)</f>
        <v>2077.0216666666665</v>
      </c>
    </row>
    <row r="121" spans="1:10" ht="15.75" customHeight="1" x14ac:dyDescent="0.2">
      <c r="A121" s="157" t="s">
        <v>185</v>
      </c>
      <c r="B121" s="257" t="s">
        <v>337</v>
      </c>
      <c r="C121" s="197"/>
      <c r="D121" s="197"/>
      <c r="E121" s="197"/>
      <c r="F121" s="197"/>
      <c r="G121" s="197"/>
      <c r="H121" s="200"/>
      <c r="I121" s="129">
        <v>0.03</v>
      </c>
      <c r="J121" s="130">
        <f>ROUND(I121*J120,2)</f>
        <v>62.31</v>
      </c>
    </row>
    <row r="122" spans="1:10" ht="12.75" customHeight="1" x14ac:dyDescent="0.2">
      <c r="A122" s="229" t="s">
        <v>338</v>
      </c>
      <c r="B122" s="197"/>
      <c r="C122" s="197"/>
      <c r="D122" s="197"/>
      <c r="E122" s="197"/>
      <c r="F122" s="197"/>
      <c r="G122" s="197"/>
      <c r="H122" s="200"/>
      <c r="I122" s="158" t="s">
        <v>286</v>
      </c>
      <c r="J122" s="156">
        <f>SUM(J30+J73+J82+J108+J116+J121)</f>
        <v>2139.3316666666665</v>
      </c>
    </row>
    <row r="123" spans="1:10" ht="15.75" customHeight="1" x14ac:dyDescent="0.2">
      <c r="A123" s="157" t="s">
        <v>187</v>
      </c>
      <c r="B123" s="257" t="s">
        <v>339</v>
      </c>
      <c r="C123" s="197"/>
      <c r="D123" s="197"/>
      <c r="E123" s="197"/>
      <c r="F123" s="197"/>
      <c r="G123" s="197"/>
      <c r="H123" s="200"/>
      <c r="I123" s="129">
        <v>6.7900000000000002E-2</v>
      </c>
      <c r="J123" s="130">
        <f>ROUND(I123*J122,2)</f>
        <v>145.26</v>
      </c>
    </row>
    <row r="124" spans="1:10" ht="12.75" customHeight="1" x14ac:dyDescent="0.2">
      <c r="A124" s="229" t="s">
        <v>340</v>
      </c>
      <c r="B124" s="197"/>
      <c r="C124" s="197"/>
      <c r="D124" s="197"/>
      <c r="E124" s="197"/>
      <c r="F124" s="197"/>
      <c r="G124" s="197"/>
      <c r="H124" s="200"/>
      <c r="I124" s="158" t="s">
        <v>286</v>
      </c>
      <c r="J124" s="156">
        <f>SUM(J30+J73+J82+J108+J116+J121+J123)</f>
        <v>2284.5916666666662</v>
      </c>
    </row>
    <row r="125" spans="1:10" ht="15.75" customHeight="1" x14ac:dyDescent="0.2">
      <c r="A125" s="157" t="s">
        <v>190</v>
      </c>
      <c r="B125" s="257" t="s">
        <v>341</v>
      </c>
      <c r="C125" s="197"/>
      <c r="D125" s="197"/>
      <c r="E125" s="197"/>
      <c r="F125" s="197"/>
      <c r="G125" s="197"/>
      <c r="H125" s="200"/>
      <c r="I125" s="122" t="s">
        <v>286</v>
      </c>
      <c r="J125" s="137" t="s">
        <v>286</v>
      </c>
    </row>
    <row r="126" spans="1:10" ht="12.75" customHeight="1" x14ac:dyDescent="0.2">
      <c r="A126" s="121"/>
      <c r="B126" s="231" t="s">
        <v>342</v>
      </c>
      <c r="C126" s="197"/>
      <c r="D126" s="197"/>
      <c r="E126" s="197"/>
      <c r="F126" s="197"/>
      <c r="G126" s="197"/>
      <c r="H126" s="200"/>
      <c r="I126" s="122" t="s">
        <v>286</v>
      </c>
      <c r="J126" s="137" t="s">
        <v>286</v>
      </c>
    </row>
    <row r="127" spans="1:10" ht="12.75" customHeight="1" x14ac:dyDescent="0.2">
      <c r="A127" s="121"/>
      <c r="B127" s="231" t="s">
        <v>469</v>
      </c>
      <c r="C127" s="197"/>
      <c r="D127" s="197"/>
      <c r="E127" s="197"/>
      <c r="F127" s="197"/>
      <c r="G127" s="197"/>
      <c r="H127" s="200"/>
      <c r="I127" s="116">
        <v>7.5999999999999998E-2</v>
      </c>
      <c r="J127" s="130">
        <f t="shared" ref="J127:J128" si="3">ROUND(($J$124/(1-$I$136))*I127,2)</f>
        <v>196.75</v>
      </c>
    </row>
    <row r="128" spans="1:10" ht="12.75" customHeight="1" x14ac:dyDescent="0.2">
      <c r="A128" s="121"/>
      <c r="B128" s="231" t="s">
        <v>470</v>
      </c>
      <c r="C128" s="197"/>
      <c r="D128" s="197"/>
      <c r="E128" s="197"/>
      <c r="F128" s="197"/>
      <c r="G128" s="197"/>
      <c r="H128" s="200"/>
      <c r="I128" s="116">
        <v>1.6500000000000001E-2</v>
      </c>
      <c r="J128" s="130">
        <f t="shared" si="3"/>
        <v>42.71</v>
      </c>
    </row>
    <row r="129" spans="1:10" ht="27" customHeight="1" x14ac:dyDescent="0.2">
      <c r="A129" s="121"/>
      <c r="B129" s="213" t="s">
        <v>345</v>
      </c>
      <c r="C129" s="197"/>
      <c r="D129" s="197"/>
      <c r="E129" s="197"/>
      <c r="F129" s="197"/>
      <c r="G129" s="197"/>
      <c r="H129" s="200"/>
      <c r="I129" s="159" t="s">
        <v>286</v>
      </c>
      <c r="J129" s="137" t="s">
        <v>286</v>
      </c>
    </row>
    <row r="130" spans="1:10" ht="27" customHeight="1" x14ac:dyDescent="0.2">
      <c r="A130" s="121"/>
      <c r="B130" s="213" t="s">
        <v>346</v>
      </c>
      <c r="C130" s="197"/>
      <c r="D130" s="197"/>
      <c r="E130" s="197"/>
      <c r="F130" s="197"/>
      <c r="G130" s="197"/>
      <c r="H130" s="200"/>
      <c r="I130" s="159" t="s">
        <v>286</v>
      </c>
      <c r="J130" s="137" t="s">
        <v>286</v>
      </c>
    </row>
    <row r="131" spans="1:10" ht="12.75" customHeight="1" x14ac:dyDescent="0.2">
      <c r="A131" s="121"/>
      <c r="B131" s="231" t="s">
        <v>347</v>
      </c>
      <c r="C131" s="197"/>
      <c r="D131" s="197"/>
      <c r="E131" s="197"/>
      <c r="F131" s="197"/>
      <c r="G131" s="197"/>
      <c r="H131" s="200"/>
      <c r="I131" s="159" t="s">
        <v>286</v>
      </c>
      <c r="J131" s="137" t="s">
        <v>286</v>
      </c>
    </row>
    <row r="132" spans="1:10" ht="12.75" customHeight="1" x14ac:dyDescent="0.2">
      <c r="A132" s="121"/>
      <c r="B132" s="231" t="s">
        <v>348</v>
      </c>
      <c r="C132" s="197"/>
      <c r="D132" s="197"/>
      <c r="E132" s="197"/>
      <c r="F132" s="197"/>
      <c r="G132" s="197"/>
      <c r="H132" s="200"/>
      <c r="I132" s="159" t="s">
        <v>286</v>
      </c>
      <c r="J132" s="137" t="s">
        <v>286</v>
      </c>
    </row>
    <row r="133" spans="1:10" ht="12.75" customHeight="1" x14ac:dyDescent="0.2">
      <c r="A133" s="121"/>
      <c r="B133" s="231" t="s">
        <v>445</v>
      </c>
      <c r="C133" s="197"/>
      <c r="D133" s="197"/>
      <c r="E133" s="197"/>
      <c r="F133" s="197"/>
      <c r="G133" s="197"/>
      <c r="H133" s="200"/>
      <c r="I133" s="116">
        <v>2.5000000000000001E-2</v>
      </c>
      <c r="J133" s="130">
        <f>ROUND(($J$124/(1-$I$136))*I133,2)</f>
        <v>64.72</v>
      </c>
    </row>
    <row r="134" spans="1:10" ht="12.75" customHeight="1" x14ac:dyDescent="0.2">
      <c r="A134" s="232" t="s">
        <v>261</v>
      </c>
      <c r="B134" s="197"/>
      <c r="C134" s="197"/>
      <c r="D134" s="197"/>
      <c r="E134" s="197"/>
      <c r="F134" s="197"/>
      <c r="G134" s="197"/>
      <c r="H134" s="197"/>
      <c r="I134" s="200"/>
      <c r="J134" s="127">
        <f>SUM(J121+J123+J127+J128+J133)</f>
        <v>511.75</v>
      </c>
    </row>
    <row r="135" spans="1:10" ht="12.75" customHeight="1" x14ac:dyDescent="0.2">
      <c r="A135" s="225"/>
      <c r="B135" s="197"/>
      <c r="C135" s="197"/>
      <c r="D135" s="197"/>
      <c r="E135" s="197"/>
      <c r="F135" s="197"/>
      <c r="G135" s="197"/>
      <c r="H135" s="197"/>
      <c r="I135" s="197"/>
      <c r="J135" s="200"/>
    </row>
    <row r="136" spans="1:10" ht="14.25" customHeight="1" x14ac:dyDescent="0.2">
      <c r="A136" s="259" t="s">
        <v>350</v>
      </c>
      <c r="B136" s="197"/>
      <c r="C136" s="197"/>
      <c r="D136" s="197"/>
      <c r="E136" s="197"/>
      <c r="F136" s="197"/>
      <c r="G136" s="197"/>
      <c r="H136" s="200"/>
      <c r="I136" s="160">
        <f t="shared" ref="I136:J136" si="4">SUM(I127:I133)</f>
        <v>0.11749999999999999</v>
      </c>
      <c r="J136" s="156">
        <f t="shared" si="4"/>
        <v>304.18</v>
      </c>
    </row>
    <row r="137" spans="1:10" ht="12.75" customHeight="1" x14ac:dyDescent="0.2">
      <c r="A137" s="260" t="s">
        <v>351</v>
      </c>
      <c r="B137" s="203"/>
      <c r="C137" s="261"/>
      <c r="D137" s="258" t="s">
        <v>352</v>
      </c>
      <c r="E137" s="197"/>
      <c r="F137" s="197"/>
      <c r="G137" s="197"/>
      <c r="H137" s="197"/>
      <c r="I137" s="197"/>
      <c r="J137" s="200"/>
    </row>
    <row r="138" spans="1:10" ht="12.75" customHeight="1" x14ac:dyDescent="0.2">
      <c r="A138" s="262"/>
      <c r="B138" s="178"/>
      <c r="C138" s="216"/>
      <c r="D138" s="258" t="s">
        <v>353</v>
      </c>
      <c r="E138" s="197"/>
      <c r="F138" s="197"/>
      <c r="G138" s="197"/>
      <c r="H138" s="197"/>
      <c r="I138" s="197"/>
      <c r="J138" s="200"/>
    </row>
    <row r="139" spans="1:10" ht="12.75" customHeight="1" x14ac:dyDescent="0.2">
      <c r="A139" s="263"/>
      <c r="B139" s="209"/>
      <c r="C139" s="210"/>
      <c r="D139" s="258" t="s">
        <v>354</v>
      </c>
      <c r="E139" s="197"/>
      <c r="F139" s="197"/>
      <c r="G139" s="197"/>
      <c r="H139" s="197"/>
      <c r="I139" s="197"/>
      <c r="J139" s="200"/>
    </row>
    <row r="140" spans="1:10" ht="12.75" customHeight="1" x14ac:dyDescent="0.2">
      <c r="A140" s="225"/>
      <c r="B140" s="197"/>
      <c r="C140" s="197"/>
      <c r="D140" s="197"/>
      <c r="E140" s="197"/>
      <c r="F140" s="197"/>
      <c r="G140" s="197"/>
      <c r="H140" s="197"/>
      <c r="I140" s="197"/>
      <c r="J140" s="200"/>
    </row>
    <row r="141" spans="1:10" ht="45.75" customHeight="1" x14ac:dyDescent="0.2">
      <c r="A141" s="264" t="s">
        <v>355</v>
      </c>
      <c r="B141" s="197"/>
      <c r="C141" s="197"/>
      <c r="D141" s="197"/>
      <c r="E141" s="197"/>
      <c r="F141" s="197"/>
      <c r="G141" s="197"/>
      <c r="H141" s="197"/>
      <c r="I141" s="197"/>
      <c r="J141" s="200"/>
    </row>
    <row r="142" spans="1:10" ht="14.25" customHeight="1" x14ac:dyDescent="0.2">
      <c r="A142" s="265" t="s">
        <v>356</v>
      </c>
      <c r="B142" s="197"/>
      <c r="C142" s="197"/>
      <c r="D142" s="197"/>
      <c r="E142" s="197"/>
      <c r="F142" s="197"/>
      <c r="G142" s="197"/>
      <c r="H142" s="197"/>
      <c r="I142" s="200"/>
      <c r="J142" s="161" t="s">
        <v>258</v>
      </c>
    </row>
    <row r="143" spans="1:10" ht="14.25" customHeight="1" x14ac:dyDescent="0.2">
      <c r="A143" s="162" t="s">
        <v>185</v>
      </c>
      <c r="B143" s="253" t="s">
        <v>357</v>
      </c>
      <c r="C143" s="197"/>
      <c r="D143" s="197"/>
      <c r="E143" s="197"/>
      <c r="F143" s="197"/>
      <c r="G143" s="197"/>
      <c r="H143" s="197"/>
      <c r="I143" s="200"/>
      <c r="J143" s="152">
        <f>J30</f>
        <v>875.29</v>
      </c>
    </row>
    <row r="144" spans="1:10" ht="14.25" customHeight="1" x14ac:dyDescent="0.2">
      <c r="A144" s="162" t="s">
        <v>187</v>
      </c>
      <c r="B144" s="253" t="s">
        <v>254</v>
      </c>
      <c r="C144" s="197"/>
      <c r="D144" s="197"/>
      <c r="E144" s="197"/>
      <c r="F144" s="197"/>
      <c r="G144" s="197"/>
      <c r="H144" s="197"/>
      <c r="I144" s="200"/>
      <c r="J144" s="152">
        <f>J73</f>
        <v>833.96</v>
      </c>
    </row>
    <row r="145" spans="1:10" ht="14.25" customHeight="1" x14ac:dyDescent="0.2">
      <c r="A145" s="162" t="s">
        <v>190</v>
      </c>
      <c r="B145" s="253" t="s">
        <v>358</v>
      </c>
      <c r="C145" s="197"/>
      <c r="D145" s="197"/>
      <c r="E145" s="197"/>
      <c r="F145" s="197"/>
      <c r="G145" s="197"/>
      <c r="H145" s="197"/>
      <c r="I145" s="200"/>
      <c r="J145" s="152">
        <f>J82</f>
        <v>44.4</v>
      </c>
    </row>
    <row r="146" spans="1:10" ht="14.25" customHeight="1" x14ac:dyDescent="0.2">
      <c r="A146" s="162" t="s">
        <v>192</v>
      </c>
      <c r="B146" s="253" t="s">
        <v>359</v>
      </c>
      <c r="C146" s="197"/>
      <c r="D146" s="197"/>
      <c r="E146" s="197"/>
      <c r="F146" s="197"/>
      <c r="G146" s="197"/>
      <c r="H146" s="197"/>
      <c r="I146" s="200"/>
      <c r="J146" s="152">
        <f>J108</f>
        <v>139.51000000000002</v>
      </c>
    </row>
    <row r="147" spans="1:10" ht="14.25" customHeight="1" x14ac:dyDescent="0.2">
      <c r="A147" s="162" t="s">
        <v>250</v>
      </c>
      <c r="B147" s="253" t="s">
        <v>360</v>
      </c>
      <c r="C147" s="197"/>
      <c r="D147" s="197"/>
      <c r="E147" s="197"/>
      <c r="F147" s="197"/>
      <c r="G147" s="197"/>
      <c r="H147" s="197"/>
      <c r="I147" s="200"/>
      <c r="J147" s="152">
        <f>J116</f>
        <v>183.86166666666668</v>
      </c>
    </row>
    <row r="148" spans="1:10" ht="14.25" customHeight="1" x14ac:dyDescent="0.2">
      <c r="A148" s="254" t="s">
        <v>361</v>
      </c>
      <c r="B148" s="197"/>
      <c r="C148" s="197"/>
      <c r="D148" s="197"/>
      <c r="E148" s="197"/>
      <c r="F148" s="197"/>
      <c r="G148" s="197"/>
      <c r="H148" s="197"/>
      <c r="I148" s="200"/>
      <c r="J148" s="153">
        <f>SUM(J143:J147)</f>
        <v>2077.0216666666665</v>
      </c>
    </row>
    <row r="149" spans="1:10" ht="14.25" customHeight="1" x14ac:dyDescent="0.2">
      <c r="A149" s="162" t="s">
        <v>275</v>
      </c>
      <c r="B149" s="253" t="s">
        <v>362</v>
      </c>
      <c r="C149" s="197"/>
      <c r="D149" s="197"/>
      <c r="E149" s="197"/>
      <c r="F149" s="197"/>
      <c r="G149" s="197"/>
      <c r="H149" s="197"/>
      <c r="I149" s="200"/>
      <c r="J149" s="152">
        <f>J134</f>
        <v>511.75</v>
      </c>
    </row>
    <row r="150" spans="1:10" ht="14.25" customHeight="1" x14ac:dyDescent="0.2">
      <c r="A150" s="254" t="s">
        <v>363</v>
      </c>
      <c r="B150" s="197"/>
      <c r="C150" s="197"/>
      <c r="D150" s="197"/>
      <c r="E150" s="197"/>
      <c r="F150" s="197"/>
      <c r="G150" s="197"/>
      <c r="H150" s="197"/>
      <c r="I150" s="200"/>
      <c r="J150" s="153">
        <f>SUM(J148:J149)</f>
        <v>2588.7716666666665</v>
      </c>
    </row>
    <row r="151" spans="1:10" ht="12.75" customHeight="1" x14ac:dyDescent="0.2">
      <c r="A151" s="225"/>
      <c r="B151" s="197"/>
      <c r="C151" s="197"/>
      <c r="D151" s="197"/>
      <c r="E151" s="197"/>
      <c r="F151" s="197"/>
      <c r="G151" s="197"/>
      <c r="H151" s="197"/>
      <c r="I151" s="197"/>
      <c r="J151" s="200"/>
    </row>
    <row r="152" spans="1:10" ht="12.75" customHeight="1" x14ac:dyDescent="0.2">
      <c r="A152" s="255" t="s">
        <v>364</v>
      </c>
      <c r="B152" s="203"/>
      <c r="C152" s="203"/>
      <c r="D152" s="203"/>
      <c r="E152" s="203"/>
      <c r="F152" s="203"/>
      <c r="G152" s="203"/>
      <c r="H152" s="203"/>
      <c r="I152" s="203"/>
      <c r="J152" s="203"/>
    </row>
    <row r="153" spans="1:10" ht="12.75" customHeight="1" x14ac:dyDescent="0.2">
      <c r="A153" s="249" t="s">
        <v>365</v>
      </c>
      <c r="B153" s="197"/>
      <c r="C153" s="197"/>
      <c r="D153" s="197"/>
      <c r="E153" s="197"/>
      <c r="F153" s="197"/>
      <c r="G153" s="200"/>
      <c r="H153" s="249" t="s">
        <v>366</v>
      </c>
      <c r="I153" s="197"/>
      <c r="J153" s="200"/>
    </row>
    <row r="154" spans="1:10" ht="12.75" customHeight="1" x14ac:dyDescent="0.2">
      <c r="A154" s="250" t="s">
        <v>397</v>
      </c>
      <c r="B154" s="203"/>
      <c r="C154" s="203"/>
      <c r="D154" s="203"/>
      <c r="E154" s="203"/>
      <c r="F154" s="203"/>
      <c r="G154" s="203"/>
      <c r="H154" s="251">
        <v>1</v>
      </c>
      <c r="I154" s="203"/>
      <c r="J154" s="203"/>
    </row>
    <row r="155" spans="1:10" ht="12.75" customHeight="1" x14ac:dyDescent="0.2">
      <c r="A155" s="252"/>
      <c r="B155" s="197"/>
      <c r="C155" s="197"/>
      <c r="D155" s="197"/>
      <c r="E155" s="197"/>
      <c r="F155" s="197"/>
      <c r="G155" s="197"/>
      <c r="H155" s="197"/>
      <c r="I155" s="197"/>
      <c r="J155" s="200"/>
    </row>
    <row r="156" spans="1:10" ht="12.75" customHeight="1" x14ac:dyDescent="0.2"/>
    <row r="157" spans="1:10" ht="12.75" customHeight="1" x14ac:dyDescent="0.2"/>
    <row r="158" spans="1:10" ht="12.75" customHeight="1" x14ac:dyDescent="0.2"/>
    <row r="159" spans="1:10" ht="12.75" customHeight="1" x14ac:dyDescent="0.2"/>
    <row r="160" spans="1:1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70">
    <mergeCell ref="B145:I145"/>
    <mergeCell ref="B146:I146"/>
    <mergeCell ref="B147:I147"/>
    <mergeCell ref="A148:I148"/>
    <mergeCell ref="A137:C139"/>
    <mergeCell ref="D137:J137"/>
    <mergeCell ref="D138:J138"/>
    <mergeCell ref="D139:J139"/>
    <mergeCell ref="A140:J140"/>
    <mergeCell ref="A141:J141"/>
    <mergeCell ref="A142:I142"/>
    <mergeCell ref="B143:I143"/>
    <mergeCell ref="B144:I144"/>
    <mergeCell ref="B128:H128"/>
    <mergeCell ref="B129:H129"/>
    <mergeCell ref="B130:H130"/>
    <mergeCell ref="B131:H131"/>
    <mergeCell ref="B132:H132"/>
    <mergeCell ref="B133:H133"/>
    <mergeCell ref="A134:I134"/>
    <mergeCell ref="A135:J135"/>
    <mergeCell ref="A136:H136"/>
    <mergeCell ref="B119:H119"/>
    <mergeCell ref="A120:H120"/>
    <mergeCell ref="B121:H121"/>
    <mergeCell ref="A122:H122"/>
    <mergeCell ref="B123:H123"/>
    <mergeCell ref="A124:H124"/>
    <mergeCell ref="B125:H125"/>
    <mergeCell ref="B126:H126"/>
    <mergeCell ref="B127:H127"/>
    <mergeCell ref="A110:J110"/>
    <mergeCell ref="B111:I111"/>
    <mergeCell ref="B112:I112"/>
    <mergeCell ref="B113:I113"/>
    <mergeCell ref="B114:I114"/>
    <mergeCell ref="B115:I115"/>
    <mergeCell ref="A116:I116"/>
    <mergeCell ref="A117:J117"/>
    <mergeCell ref="A118:J118"/>
    <mergeCell ref="B95:I95"/>
    <mergeCell ref="A96:I96"/>
    <mergeCell ref="A97:J97"/>
    <mergeCell ref="B98:I98"/>
    <mergeCell ref="B99:I99"/>
    <mergeCell ref="A100:I100"/>
    <mergeCell ref="A154:G154"/>
    <mergeCell ref="A155:J155"/>
    <mergeCell ref="B149:I149"/>
    <mergeCell ref="A150:I150"/>
    <mergeCell ref="A151:J151"/>
    <mergeCell ref="A152:J152"/>
    <mergeCell ref="A153:G153"/>
    <mergeCell ref="H153:J153"/>
    <mergeCell ref="H154:J154"/>
    <mergeCell ref="B101:I101"/>
    <mergeCell ref="A102:I102"/>
    <mergeCell ref="A103:J103"/>
    <mergeCell ref="A104:J104"/>
    <mergeCell ref="B105:I105"/>
    <mergeCell ref="B106:I106"/>
    <mergeCell ref="B107:I107"/>
    <mergeCell ref="A108:I108"/>
    <mergeCell ref="A109:J109"/>
    <mergeCell ref="A86:J86"/>
    <mergeCell ref="B87:I87"/>
    <mergeCell ref="B88:H88"/>
    <mergeCell ref="B89:I89"/>
    <mergeCell ref="B90:I90"/>
    <mergeCell ref="B91:I91"/>
    <mergeCell ref="B92:I92"/>
    <mergeCell ref="B93:I93"/>
    <mergeCell ref="A94:I94"/>
    <mergeCell ref="B77:I77"/>
    <mergeCell ref="B78:I78"/>
    <mergeCell ref="B79:I79"/>
    <mergeCell ref="B80:I80"/>
    <mergeCell ref="B81:H81"/>
    <mergeCell ref="A82:I82"/>
    <mergeCell ref="A83:J83"/>
    <mergeCell ref="A84:J84"/>
    <mergeCell ref="A85:I85"/>
    <mergeCell ref="A68:J68"/>
    <mergeCell ref="B69:I69"/>
    <mergeCell ref="C70:I70"/>
    <mergeCell ref="C71:I71"/>
    <mergeCell ref="C72:I72"/>
    <mergeCell ref="A73:I73"/>
    <mergeCell ref="A74:J74"/>
    <mergeCell ref="A75:J75"/>
    <mergeCell ref="B76:I76"/>
    <mergeCell ref="B59:H59"/>
    <mergeCell ref="B60:I60"/>
    <mergeCell ref="B61:H61"/>
    <mergeCell ref="B62:H62"/>
    <mergeCell ref="B63:H63"/>
    <mergeCell ref="B64:I64"/>
    <mergeCell ref="B65:I65"/>
    <mergeCell ref="A66:I66"/>
    <mergeCell ref="A67:J67"/>
    <mergeCell ref="B50:H50"/>
    <mergeCell ref="A51:H51"/>
    <mergeCell ref="A52:J52"/>
    <mergeCell ref="A53:J53"/>
    <mergeCell ref="B54:I54"/>
    <mergeCell ref="B55:I55"/>
    <mergeCell ref="B56:H56"/>
    <mergeCell ref="B57:H57"/>
    <mergeCell ref="B58:H58"/>
    <mergeCell ref="B27:I27"/>
    <mergeCell ref="B28:I28"/>
    <mergeCell ref="B29:H29"/>
    <mergeCell ref="A30:I30"/>
    <mergeCell ref="B45:D45"/>
    <mergeCell ref="B46:H46"/>
    <mergeCell ref="B47:H47"/>
    <mergeCell ref="B48:H48"/>
    <mergeCell ref="B49:H49"/>
    <mergeCell ref="B20:G20"/>
    <mergeCell ref="H20:J20"/>
    <mergeCell ref="A21:J21"/>
    <mergeCell ref="A22:J22"/>
    <mergeCell ref="B23:G23"/>
    <mergeCell ref="H23:I23"/>
    <mergeCell ref="B24:I24"/>
    <mergeCell ref="B25:H25"/>
    <mergeCell ref="B26:I26"/>
    <mergeCell ref="A14:J14"/>
    <mergeCell ref="A15:J15"/>
    <mergeCell ref="B16:G16"/>
    <mergeCell ref="H16:J16"/>
    <mergeCell ref="B17:G17"/>
    <mergeCell ref="H17:J17"/>
    <mergeCell ref="B18:G18"/>
    <mergeCell ref="H18:J18"/>
    <mergeCell ref="H19:J19"/>
    <mergeCell ref="B19:G19"/>
    <mergeCell ref="A40:J40"/>
    <mergeCell ref="A41:J41"/>
    <mergeCell ref="B42:H42"/>
    <mergeCell ref="B43:H43"/>
    <mergeCell ref="B44:H44"/>
    <mergeCell ref="A1:J1"/>
    <mergeCell ref="A2:J2"/>
    <mergeCell ref="A3:J3"/>
    <mergeCell ref="A4:G4"/>
    <mergeCell ref="H4:J4"/>
    <mergeCell ref="A5:G5"/>
    <mergeCell ref="H5:J5"/>
    <mergeCell ref="A6:J6"/>
    <mergeCell ref="A7:J7"/>
    <mergeCell ref="B8:G8"/>
    <mergeCell ref="H8:J8"/>
    <mergeCell ref="B9:G9"/>
    <mergeCell ref="H9:J9"/>
    <mergeCell ref="H10:J10"/>
    <mergeCell ref="B10:G10"/>
    <mergeCell ref="B11:G11"/>
    <mergeCell ref="H11:J11"/>
    <mergeCell ref="A12:J12"/>
    <mergeCell ref="A13:J13"/>
    <mergeCell ref="A31:J31"/>
    <mergeCell ref="A32:J32"/>
    <mergeCell ref="A33:J33"/>
    <mergeCell ref="B34:I34"/>
    <mergeCell ref="B35:H35"/>
    <mergeCell ref="B36:H36"/>
    <mergeCell ref="A37:I37"/>
    <mergeCell ref="B38:I38"/>
    <mergeCell ref="A39:I39"/>
  </mergeCells>
  <pageMargins left="0.7" right="0.7" top="0.75" bottom="0.75" header="0" footer="0"/>
  <pageSetup orientation="portrait"/>
  <headerFooter>
    <oddHeader>&amp;C&amp;A</oddHeader>
    <oddFooter>&amp;CPágina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C00"/>
  </sheetPr>
  <dimension ref="A1:K1000"/>
  <sheetViews>
    <sheetView workbookViewId="0">
      <selection sqref="A1:J1"/>
    </sheetView>
  </sheetViews>
  <sheetFormatPr defaultColWidth="12.5703125" defaultRowHeight="15" customHeight="1" x14ac:dyDescent="0.2"/>
  <cols>
    <col min="1" max="10" width="11.5703125" customWidth="1"/>
    <col min="11" max="11" width="11.42578125" customWidth="1"/>
    <col min="12" max="26" width="8" customWidth="1"/>
  </cols>
  <sheetData>
    <row r="1" spans="1:10" ht="23.25" customHeight="1" x14ac:dyDescent="0.2">
      <c r="A1" s="234" t="s">
        <v>421</v>
      </c>
      <c r="B1" s="197"/>
      <c r="C1" s="197"/>
      <c r="D1" s="197"/>
      <c r="E1" s="197"/>
      <c r="F1" s="197"/>
      <c r="G1" s="197"/>
      <c r="H1" s="197"/>
      <c r="I1" s="197"/>
      <c r="J1" s="200"/>
    </row>
    <row r="2" spans="1:10" ht="24" customHeight="1" x14ac:dyDescent="0.2">
      <c r="A2" s="235" t="s">
        <v>367</v>
      </c>
      <c r="B2" s="197"/>
      <c r="C2" s="197"/>
      <c r="D2" s="197"/>
      <c r="E2" s="197"/>
      <c r="F2" s="197"/>
      <c r="G2" s="197"/>
      <c r="H2" s="197"/>
      <c r="I2" s="197"/>
      <c r="J2" s="200"/>
    </row>
    <row r="3" spans="1:10" ht="46.5" customHeight="1" x14ac:dyDescent="0.2">
      <c r="A3" s="236" t="s">
        <v>471</v>
      </c>
      <c r="B3" s="197"/>
      <c r="C3" s="197"/>
      <c r="D3" s="197"/>
      <c r="E3" s="197"/>
      <c r="F3" s="197"/>
      <c r="G3" s="197"/>
      <c r="H3" s="197"/>
      <c r="I3" s="197"/>
      <c r="J3" s="200"/>
    </row>
    <row r="4" spans="1:10" ht="14.25" customHeight="1" x14ac:dyDescent="0.2">
      <c r="A4" s="213" t="s">
        <v>180</v>
      </c>
      <c r="B4" s="197"/>
      <c r="C4" s="197"/>
      <c r="D4" s="197"/>
      <c r="E4" s="197"/>
      <c r="F4" s="197"/>
      <c r="G4" s="200"/>
      <c r="H4" s="201" t="s">
        <v>226</v>
      </c>
      <c r="I4" s="197"/>
      <c r="J4" s="200"/>
    </row>
    <row r="5" spans="1:10" ht="14.25" customHeight="1" x14ac:dyDescent="0.2">
      <c r="A5" s="213" t="s">
        <v>182</v>
      </c>
      <c r="B5" s="197"/>
      <c r="C5" s="197"/>
      <c r="D5" s="197"/>
      <c r="E5" s="197"/>
      <c r="F5" s="197"/>
      <c r="G5" s="200"/>
      <c r="H5" s="201"/>
      <c r="I5" s="197"/>
      <c r="J5" s="200"/>
    </row>
    <row r="6" spans="1:10" ht="14.25" customHeight="1" x14ac:dyDescent="0.2">
      <c r="A6" s="213" t="s">
        <v>183</v>
      </c>
      <c r="B6" s="197"/>
      <c r="C6" s="197"/>
      <c r="D6" s="197"/>
      <c r="E6" s="197"/>
      <c r="F6" s="197"/>
      <c r="G6" s="197"/>
      <c r="H6" s="197"/>
      <c r="I6" s="197"/>
      <c r="J6" s="200"/>
    </row>
    <row r="7" spans="1:10" ht="15.75" customHeight="1" x14ac:dyDescent="0.2">
      <c r="A7" s="237" t="s">
        <v>184</v>
      </c>
      <c r="B7" s="197"/>
      <c r="C7" s="197"/>
      <c r="D7" s="197"/>
      <c r="E7" s="197"/>
      <c r="F7" s="197"/>
      <c r="G7" s="197"/>
      <c r="H7" s="197"/>
      <c r="I7" s="197"/>
      <c r="J7" s="200"/>
    </row>
    <row r="8" spans="1:10" ht="14.25" customHeight="1" x14ac:dyDescent="0.2">
      <c r="A8" s="87" t="s">
        <v>185</v>
      </c>
      <c r="B8" s="213" t="s">
        <v>186</v>
      </c>
      <c r="C8" s="197"/>
      <c r="D8" s="197"/>
      <c r="E8" s="197"/>
      <c r="F8" s="197"/>
      <c r="G8" s="200"/>
      <c r="H8" s="214"/>
      <c r="I8" s="197"/>
      <c r="J8" s="200"/>
    </row>
    <row r="9" spans="1:10" ht="14.25" customHeight="1" x14ac:dyDescent="0.2">
      <c r="A9" s="87" t="s">
        <v>187</v>
      </c>
      <c r="B9" s="213" t="s">
        <v>227</v>
      </c>
      <c r="C9" s="197"/>
      <c r="D9" s="197"/>
      <c r="E9" s="197"/>
      <c r="F9" s="197"/>
      <c r="G9" s="200"/>
      <c r="H9" s="201" t="s">
        <v>423</v>
      </c>
      <c r="I9" s="197"/>
      <c r="J9" s="200"/>
    </row>
    <row r="10" spans="1:10" ht="39" customHeight="1" x14ac:dyDescent="0.2">
      <c r="A10" s="87" t="s">
        <v>190</v>
      </c>
      <c r="B10" s="213" t="s">
        <v>229</v>
      </c>
      <c r="C10" s="197"/>
      <c r="D10" s="197"/>
      <c r="E10" s="197"/>
      <c r="F10" s="197"/>
      <c r="G10" s="200"/>
      <c r="H10" s="238" t="s">
        <v>447</v>
      </c>
      <c r="I10" s="197"/>
      <c r="J10" s="200"/>
    </row>
    <row r="11" spans="1:10" ht="12.75" customHeight="1" x14ac:dyDescent="0.2">
      <c r="A11" s="87" t="s">
        <v>192</v>
      </c>
      <c r="B11" s="213" t="s">
        <v>472</v>
      </c>
      <c r="C11" s="197"/>
      <c r="D11" s="197"/>
      <c r="E11" s="197"/>
      <c r="F11" s="197"/>
      <c r="G11" s="200"/>
      <c r="H11" s="201">
        <v>60</v>
      </c>
      <c r="I11" s="197"/>
      <c r="J11" s="200"/>
    </row>
    <row r="12" spans="1:10" ht="12.75" customHeight="1" x14ac:dyDescent="0.2">
      <c r="A12" s="225"/>
      <c r="B12" s="197"/>
      <c r="C12" s="197"/>
      <c r="D12" s="197"/>
      <c r="E12" s="197"/>
      <c r="F12" s="197"/>
      <c r="G12" s="197"/>
      <c r="H12" s="197"/>
      <c r="I12" s="197"/>
      <c r="J12" s="200"/>
    </row>
    <row r="13" spans="1:10" ht="48.75" customHeight="1" x14ac:dyDescent="0.2">
      <c r="A13" s="239" t="s">
        <v>473</v>
      </c>
      <c r="B13" s="197"/>
      <c r="C13" s="197"/>
      <c r="D13" s="197"/>
      <c r="E13" s="197"/>
      <c r="F13" s="197"/>
      <c r="G13" s="197"/>
      <c r="H13" s="197"/>
      <c r="I13" s="197"/>
      <c r="J13" s="200"/>
    </row>
    <row r="14" spans="1:10" ht="12.75" customHeight="1" x14ac:dyDescent="0.2">
      <c r="A14" s="225"/>
      <c r="B14" s="197"/>
      <c r="C14" s="197"/>
      <c r="D14" s="197"/>
      <c r="E14" s="197"/>
      <c r="F14" s="197"/>
      <c r="G14" s="197"/>
      <c r="H14" s="197"/>
      <c r="I14" s="197"/>
      <c r="J14" s="200"/>
    </row>
    <row r="15" spans="1:10" ht="15.75" customHeight="1" x14ac:dyDescent="0.2">
      <c r="A15" s="240" t="s">
        <v>233</v>
      </c>
      <c r="B15" s="197"/>
      <c r="C15" s="197"/>
      <c r="D15" s="197"/>
      <c r="E15" s="197"/>
      <c r="F15" s="197"/>
      <c r="G15" s="197"/>
      <c r="H15" s="197"/>
      <c r="I15" s="197"/>
      <c r="J15" s="200"/>
    </row>
    <row r="16" spans="1:10" ht="15.75" customHeight="1" x14ac:dyDescent="0.2">
      <c r="A16" s="87">
        <v>1</v>
      </c>
      <c r="B16" s="213" t="s">
        <v>234</v>
      </c>
      <c r="C16" s="197"/>
      <c r="D16" s="197"/>
      <c r="E16" s="197"/>
      <c r="F16" s="197"/>
      <c r="G16" s="200"/>
      <c r="H16" s="241" t="s">
        <v>209</v>
      </c>
      <c r="I16" s="197"/>
      <c r="J16" s="200"/>
    </row>
    <row r="17" spans="1:11" ht="15.75" customHeight="1" x14ac:dyDescent="0.2">
      <c r="A17" s="87">
        <v>2</v>
      </c>
      <c r="B17" s="213" t="s">
        <v>236</v>
      </c>
      <c r="C17" s="197"/>
      <c r="D17" s="197"/>
      <c r="E17" s="197"/>
      <c r="F17" s="197"/>
      <c r="G17" s="200"/>
      <c r="H17" s="266">
        <v>1578123</v>
      </c>
      <c r="I17" s="197"/>
      <c r="J17" s="200"/>
    </row>
    <row r="18" spans="1:11" ht="15.75" customHeight="1" x14ac:dyDescent="0.2">
      <c r="A18" s="87">
        <v>3</v>
      </c>
      <c r="B18" s="213" t="s">
        <v>238</v>
      </c>
      <c r="C18" s="197"/>
      <c r="D18" s="197"/>
      <c r="E18" s="197"/>
      <c r="F18" s="197"/>
      <c r="G18" s="200"/>
      <c r="H18" s="242">
        <v>1540.51</v>
      </c>
      <c r="I18" s="197"/>
      <c r="J18" s="200"/>
    </row>
    <row r="19" spans="1:11" ht="15.75" customHeight="1" x14ac:dyDescent="0.2">
      <c r="A19" s="87">
        <v>4</v>
      </c>
      <c r="B19" s="213" t="s">
        <v>239</v>
      </c>
      <c r="C19" s="197"/>
      <c r="D19" s="197"/>
      <c r="E19" s="197"/>
      <c r="F19" s="197"/>
      <c r="G19" s="200"/>
      <c r="H19" s="241" t="s">
        <v>402</v>
      </c>
      <c r="I19" s="197"/>
      <c r="J19" s="200"/>
    </row>
    <row r="20" spans="1:11" ht="15.75" customHeight="1" x14ac:dyDescent="0.2">
      <c r="A20" s="87">
        <v>5</v>
      </c>
      <c r="B20" s="213" t="s">
        <v>240</v>
      </c>
      <c r="C20" s="197"/>
      <c r="D20" s="197"/>
      <c r="E20" s="197"/>
      <c r="F20" s="197"/>
      <c r="G20" s="200"/>
      <c r="H20" s="241" t="s">
        <v>373</v>
      </c>
      <c r="I20" s="197"/>
      <c r="J20" s="200"/>
    </row>
    <row r="21" spans="1:11" ht="12.75" customHeight="1" x14ac:dyDescent="0.2">
      <c r="A21" s="225"/>
      <c r="B21" s="197"/>
      <c r="C21" s="197"/>
      <c r="D21" s="197"/>
      <c r="E21" s="197"/>
      <c r="F21" s="197"/>
      <c r="G21" s="197"/>
      <c r="H21" s="197"/>
      <c r="I21" s="197"/>
      <c r="J21" s="200"/>
    </row>
    <row r="22" spans="1:11" ht="20.25" customHeight="1" x14ac:dyDescent="0.2">
      <c r="A22" s="239" t="s">
        <v>242</v>
      </c>
      <c r="B22" s="197"/>
      <c r="C22" s="197"/>
      <c r="D22" s="197"/>
      <c r="E22" s="197"/>
      <c r="F22" s="197"/>
      <c r="G22" s="197"/>
      <c r="H22" s="197"/>
      <c r="I22" s="197"/>
      <c r="J22" s="200"/>
    </row>
    <row r="23" spans="1:11" ht="30" customHeight="1" x14ac:dyDescent="0.2">
      <c r="A23" s="113">
        <v>1</v>
      </c>
      <c r="B23" s="240" t="s">
        <v>243</v>
      </c>
      <c r="C23" s="197"/>
      <c r="D23" s="197"/>
      <c r="E23" s="197"/>
      <c r="F23" s="197"/>
      <c r="G23" s="200"/>
      <c r="H23" s="240" t="s">
        <v>244</v>
      </c>
      <c r="I23" s="200"/>
      <c r="J23" s="113" t="s">
        <v>245</v>
      </c>
    </row>
    <row r="24" spans="1:11" ht="12.75" customHeight="1" x14ac:dyDescent="0.2">
      <c r="A24" s="87" t="s">
        <v>185</v>
      </c>
      <c r="B24" s="213" t="s">
        <v>474</v>
      </c>
      <c r="C24" s="197"/>
      <c r="D24" s="197"/>
      <c r="E24" s="197"/>
      <c r="F24" s="197"/>
      <c r="G24" s="197"/>
      <c r="H24" s="197"/>
      <c r="I24" s="200"/>
      <c r="J24" s="114">
        <f>ROUND(((44/6)*30)*(H18/220),2)</f>
        <v>1540.51</v>
      </c>
      <c r="K24" s="163"/>
    </row>
    <row r="25" spans="1:11" ht="12.75" customHeight="1" x14ac:dyDescent="0.2">
      <c r="A25" s="115" t="s">
        <v>187</v>
      </c>
      <c r="B25" s="213" t="s">
        <v>247</v>
      </c>
      <c r="C25" s="197"/>
      <c r="D25" s="197"/>
      <c r="E25" s="197"/>
      <c r="F25" s="197"/>
      <c r="G25" s="197"/>
      <c r="H25" s="200"/>
      <c r="I25" s="116">
        <v>0.3</v>
      </c>
      <c r="J25" s="114">
        <f>ROUND(I25*J24,2)</f>
        <v>462.15</v>
      </c>
      <c r="K25" s="163"/>
    </row>
    <row r="26" spans="1:11" ht="12.75" customHeight="1" x14ac:dyDescent="0.2">
      <c r="A26" s="115" t="s">
        <v>190</v>
      </c>
      <c r="B26" s="213" t="s">
        <v>248</v>
      </c>
      <c r="C26" s="197"/>
      <c r="D26" s="197"/>
      <c r="E26" s="197"/>
      <c r="F26" s="197"/>
      <c r="G26" s="197"/>
      <c r="H26" s="197"/>
      <c r="I26" s="200"/>
      <c r="J26" s="114"/>
      <c r="K26" s="163"/>
    </row>
    <row r="27" spans="1:11" ht="12.75" customHeight="1" x14ac:dyDescent="0.2">
      <c r="A27" s="115" t="s">
        <v>192</v>
      </c>
      <c r="B27" s="213" t="s">
        <v>249</v>
      </c>
      <c r="C27" s="197"/>
      <c r="D27" s="197"/>
      <c r="E27" s="197"/>
      <c r="F27" s="197"/>
      <c r="G27" s="197"/>
      <c r="H27" s="197"/>
      <c r="I27" s="200"/>
      <c r="J27" s="114"/>
      <c r="K27" s="163"/>
    </row>
    <row r="28" spans="1:11" ht="12.75" customHeight="1" x14ac:dyDescent="0.2">
      <c r="A28" s="115" t="s">
        <v>250</v>
      </c>
      <c r="B28" s="213" t="s">
        <v>251</v>
      </c>
      <c r="C28" s="197"/>
      <c r="D28" s="197"/>
      <c r="E28" s="197"/>
      <c r="F28" s="197"/>
      <c r="G28" s="197"/>
      <c r="H28" s="197"/>
      <c r="I28" s="200"/>
      <c r="J28" s="114"/>
      <c r="K28" s="163"/>
    </row>
    <row r="29" spans="1:11" ht="12.75" customHeight="1" x14ac:dyDescent="0.2">
      <c r="A29" s="87" t="s">
        <v>187</v>
      </c>
      <c r="B29" s="213" t="s">
        <v>252</v>
      </c>
      <c r="C29" s="197"/>
      <c r="D29" s="197"/>
      <c r="E29" s="197"/>
      <c r="F29" s="197"/>
      <c r="G29" s="197"/>
      <c r="H29" s="200"/>
      <c r="I29" s="117">
        <v>0.2</v>
      </c>
      <c r="J29" s="114">
        <f>ROUND(I29*J24,2)</f>
        <v>308.10000000000002</v>
      </c>
      <c r="K29" s="163"/>
    </row>
    <row r="30" spans="1:11" ht="15.75" customHeight="1" x14ac:dyDescent="0.2">
      <c r="A30" s="243" t="s">
        <v>253</v>
      </c>
      <c r="B30" s="197"/>
      <c r="C30" s="197"/>
      <c r="D30" s="197"/>
      <c r="E30" s="197"/>
      <c r="F30" s="197"/>
      <c r="G30" s="197"/>
      <c r="H30" s="197"/>
      <c r="I30" s="200"/>
      <c r="J30" s="118">
        <f>SUM(J24:J29)</f>
        <v>2310.7599999999998</v>
      </c>
    </row>
    <row r="31" spans="1:11" ht="12.75" customHeight="1" x14ac:dyDescent="0.2">
      <c r="A31" s="225"/>
      <c r="B31" s="197"/>
      <c r="C31" s="197"/>
      <c r="D31" s="197"/>
      <c r="E31" s="197"/>
      <c r="F31" s="197"/>
      <c r="G31" s="197"/>
      <c r="H31" s="197"/>
      <c r="I31" s="197"/>
      <c r="J31" s="200"/>
    </row>
    <row r="32" spans="1:11" ht="15.75" customHeight="1" x14ac:dyDescent="0.2">
      <c r="A32" s="226" t="s">
        <v>254</v>
      </c>
      <c r="B32" s="197"/>
      <c r="C32" s="197"/>
      <c r="D32" s="197"/>
      <c r="E32" s="197"/>
      <c r="F32" s="197"/>
      <c r="G32" s="197"/>
      <c r="H32" s="197"/>
      <c r="I32" s="197"/>
      <c r="J32" s="200"/>
    </row>
    <row r="33" spans="1:10" ht="15" customHeight="1" x14ac:dyDescent="0.2">
      <c r="A33" s="227" t="s">
        <v>475</v>
      </c>
      <c r="B33" s="197"/>
      <c r="C33" s="197"/>
      <c r="D33" s="197"/>
      <c r="E33" s="197"/>
      <c r="F33" s="197"/>
      <c r="G33" s="197"/>
      <c r="H33" s="197"/>
      <c r="I33" s="197"/>
      <c r="J33" s="200"/>
    </row>
    <row r="34" spans="1:10" ht="15" customHeight="1" x14ac:dyDescent="0.2">
      <c r="A34" s="119" t="s">
        <v>256</v>
      </c>
      <c r="B34" s="228" t="s">
        <v>476</v>
      </c>
      <c r="C34" s="197"/>
      <c r="D34" s="197"/>
      <c r="E34" s="197"/>
      <c r="F34" s="197"/>
      <c r="G34" s="197"/>
      <c r="H34" s="197"/>
      <c r="I34" s="200"/>
      <c r="J34" s="120" t="s">
        <v>258</v>
      </c>
    </row>
    <row r="35" spans="1:10" ht="27" customHeight="1" x14ac:dyDescent="0.2">
      <c r="A35" s="121" t="s">
        <v>185</v>
      </c>
      <c r="B35" s="213" t="s">
        <v>477</v>
      </c>
      <c r="C35" s="197"/>
      <c r="D35" s="197"/>
      <c r="E35" s="197"/>
      <c r="F35" s="197"/>
      <c r="G35" s="197"/>
      <c r="H35" s="200"/>
      <c r="I35" s="122">
        <v>8.3299999999999999E-2</v>
      </c>
      <c r="J35" s="123">
        <f t="shared" ref="J35:J36" si="0">ROUND($J$30*I35,2)</f>
        <v>192.49</v>
      </c>
    </row>
    <row r="36" spans="1:10" ht="36" customHeight="1" x14ac:dyDescent="0.2">
      <c r="A36" s="121" t="s">
        <v>187</v>
      </c>
      <c r="B36" s="229" t="s">
        <v>478</v>
      </c>
      <c r="C36" s="197"/>
      <c r="D36" s="197"/>
      <c r="E36" s="197"/>
      <c r="F36" s="197"/>
      <c r="G36" s="197"/>
      <c r="H36" s="200"/>
      <c r="I36" s="124">
        <v>3.0249999999999999E-2</v>
      </c>
      <c r="J36" s="123">
        <f t="shared" si="0"/>
        <v>69.900000000000006</v>
      </c>
    </row>
    <row r="37" spans="1:10" ht="12.75" customHeight="1" x14ac:dyDescent="0.2">
      <c r="A37" s="230" t="s">
        <v>261</v>
      </c>
      <c r="B37" s="197"/>
      <c r="C37" s="197"/>
      <c r="D37" s="197"/>
      <c r="E37" s="197"/>
      <c r="F37" s="197"/>
      <c r="G37" s="197"/>
      <c r="H37" s="197"/>
      <c r="I37" s="200"/>
      <c r="J37" s="123">
        <f>SUM(J35+J36)</f>
        <v>262.39</v>
      </c>
    </row>
    <row r="38" spans="1:10" ht="12.75" customHeight="1" x14ac:dyDescent="0.2">
      <c r="A38" s="125" t="s">
        <v>190</v>
      </c>
      <c r="B38" s="231" t="s">
        <v>262</v>
      </c>
      <c r="C38" s="197"/>
      <c r="D38" s="197"/>
      <c r="E38" s="197"/>
      <c r="F38" s="197"/>
      <c r="G38" s="197"/>
      <c r="H38" s="197"/>
      <c r="I38" s="200"/>
      <c r="J38" s="126">
        <f>ROUND(I51*J37,2)</f>
        <v>96.56</v>
      </c>
    </row>
    <row r="39" spans="1:10" ht="12.75" customHeight="1" x14ac:dyDescent="0.2">
      <c r="A39" s="232" t="s">
        <v>261</v>
      </c>
      <c r="B39" s="197"/>
      <c r="C39" s="197"/>
      <c r="D39" s="197"/>
      <c r="E39" s="197"/>
      <c r="F39" s="197"/>
      <c r="G39" s="197"/>
      <c r="H39" s="197"/>
      <c r="I39" s="200"/>
      <c r="J39" s="127">
        <f>J37+J38</f>
        <v>358.95</v>
      </c>
    </row>
    <row r="40" spans="1:10" ht="12.75" customHeight="1" x14ac:dyDescent="0.2">
      <c r="A40" s="225"/>
      <c r="B40" s="197"/>
      <c r="C40" s="197"/>
      <c r="D40" s="197"/>
      <c r="E40" s="197"/>
      <c r="F40" s="197"/>
      <c r="G40" s="197"/>
      <c r="H40" s="197"/>
      <c r="I40" s="197"/>
      <c r="J40" s="200"/>
    </row>
    <row r="41" spans="1:10" ht="30" customHeight="1" x14ac:dyDescent="0.2">
      <c r="A41" s="226" t="s">
        <v>263</v>
      </c>
      <c r="B41" s="197"/>
      <c r="C41" s="197"/>
      <c r="D41" s="197"/>
      <c r="E41" s="197"/>
      <c r="F41" s="197"/>
      <c r="G41" s="197"/>
      <c r="H41" s="197"/>
      <c r="I41" s="197"/>
      <c r="J41" s="200"/>
    </row>
    <row r="42" spans="1:10" ht="30" customHeight="1" x14ac:dyDescent="0.2">
      <c r="A42" s="128" t="s">
        <v>264</v>
      </c>
      <c r="B42" s="233" t="s">
        <v>265</v>
      </c>
      <c r="C42" s="197"/>
      <c r="D42" s="197"/>
      <c r="E42" s="197"/>
      <c r="F42" s="197"/>
      <c r="G42" s="197"/>
      <c r="H42" s="200"/>
      <c r="I42" s="113" t="s">
        <v>266</v>
      </c>
      <c r="J42" s="113" t="s">
        <v>267</v>
      </c>
    </row>
    <row r="43" spans="1:10" ht="12.75" customHeight="1" x14ac:dyDescent="0.2">
      <c r="A43" s="121" t="s">
        <v>185</v>
      </c>
      <c r="B43" s="231" t="s">
        <v>268</v>
      </c>
      <c r="C43" s="197"/>
      <c r="D43" s="197"/>
      <c r="E43" s="197"/>
      <c r="F43" s="197"/>
      <c r="G43" s="197"/>
      <c r="H43" s="200"/>
      <c r="I43" s="129">
        <v>0.2</v>
      </c>
      <c r="J43" s="130">
        <f t="shared" ref="J43:J50" si="1">ROUND($J$30*I43,2)</f>
        <v>462.15</v>
      </c>
    </row>
    <row r="44" spans="1:10" ht="12.75" customHeight="1" x14ac:dyDescent="0.2">
      <c r="A44" s="121" t="s">
        <v>187</v>
      </c>
      <c r="B44" s="231" t="s">
        <v>269</v>
      </c>
      <c r="C44" s="197"/>
      <c r="D44" s="197"/>
      <c r="E44" s="197"/>
      <c r="F44" s="197"/>
      <c r="G44" s="197"/>
      <c r="H44" s="200"/>
      <c r="I44" s="129">
        <v>2.5000000000000001E-2</v>
      </c>
      <c r="J44" s="130">
        <f t="shared" si="1"/>
        <v>57.77</v>
      </c>
    </row>
    <row r="45" spans="1:10" ht="12.75" customHeight="1" x14ac:dyDescent="0.2">
      <c r="A45" s="121" t="s">
        <v>190</v>
      </c>
      <c r="B45" s="231" t="s">
        <v>270</v>
      </c>
      <c r="C45" s="197"/>
      <c r="D45" s="200"/>
      <c r="E45" s="131" t="s">
        <v>271</v>
      </c>
      <c r="F45" s="132">
        <v>0.03</v>
      </c>
      <c r="G45" s="131" t="s">
        <v>272</v>
      </c>
      <c r="H45" s="133">
        <v>1</v>
      </c>
      <c r="I45" s="134">
        <f>ROUND((F45*H45),6)</f>
        <v>0.03</v>
      </c>
      <c r="J45" s="130">
        <f t="shared" si="1"/>
        <v>69.319999999999993</v>
      </c>
    </row>
    <row r="46" spans="1:10" ht="12.75" customHeight="1" x14ac:dyDescent="0.2">
      <c r="A46" s="121" t="s">
        <v>192</v>
      </c>
      <c r="B46" s="231" t="s">
        <v>273</v>
      </c>
      <c r="C46" s="197"/>
      <c r="D46" s="197"/>
      <c r="E46" s="197"/>
      <c r="F46" s="197"/>
      <c r="G46" s="197"/>
      <c r="H46" s="200"/>
      <c r="I46" s="129">
        <v>1.4999999999999999E-2</v>
      </c>
      <c r="J46" s="130">
        <f t="shared" si="1"/>
        <v>34.659999999999997</v>
      </c>
    </row>
    <row r="47" spans="1:10" ht="12.75" customHeight="1" x14ac:dyDescent="0.2">
      <c r="A47" s="121" t="s">
        <v>250</v>
      </c>
      <c r="B47" s="231" t="s">
        <v>274</v>
      </c>
      <c r="C47" s="197"/>
      <c r="D47" s="197"/>
      <c r="E47" s="197"/>
      <c r="F47" s="197"/>
      <c r="G47" s="197"/>
      <c r="H47" s="200"/>
      <c r="I47" s="129">
        <v>0.01</v>
      </c>
      <c r="J47" s="130">
        <f t="shared" si="1"/>
        <v>23.11</v>
      </c>
    </row>
    <row r="48" spans="1:10" ht="12.75" customHeight="1" x14ac:dyDescent="0.2">
      <c r="A48" s="121" t="s">
        <v>275</v>
      </c>
      <c r="B48" s="231" t="s">
        <v>276</v>
      </c>
      <c r="C48" s="197"/>
      <c r="D48" s="197"/>
      <c r="E48" s="197"/>
      <c r="F48" s="197"/>
      <c r="G48" s="197"/>
      <c r="H48" s="200"/>
      <c r="I48" s="129">
        <v>6.0000000000000001E-3</v>
      </c>
      <c r="J48" s="130">
        <f t="shared" si="1"/>
        <v>13.86</v>
      </c>
    </row>
    <row r="49" spans="1:11" ht="12.75" customHeight="1" x14ac:dyDescent="0.2">
      <c r="A49" s="121" t="s">
        <v>277</v>
      </c>
      <c r="B49" s="231" t="s">
        <v>278</v>
      </c>
      <c r="C49" s="197"/>
      <c r="D49" s="197"/>
      <c r="E49" s="197"/>
      <c r="F49" s="197"/>
      <c r="G49" s="197"/>
      <c r="H49" s="200"/>
      <c r="I49" s="129">
        <v>2E-3</v>
      </c>
      <c r="J49" s="130">
        <f t="shared" si="1"/>
        <v>4.62</v>
      </c>
    </row>
    <row r="50" spans="1:11" ht="12.75" customHeight="1" x14ac:dyDescent="0.2">
      <c r="A50" s="121" t="s">
        <v>279</v>
      </c>
      <c r="B50" s="231" t="s">
        <v>280</v>
      </c>
      <c r="C50" s="197"/>
      <c r="D50" s="197"/>
      <c r="E50" s="197"/>
      <c r="F50" s="197"/>
      <c r="G50" s="197"/>
      <c r="H50" s="200"/>
      <c r="I50" s="129">
        <v>0.08</v>
      </c>
      <c r="J50" s="130">
        <f t="shared" si="1"/>
        <v>184.86</v>
      </c>
    </row>
    <row r="51" spans="1:11" ht="12.75" customHeight="1" x14ac:dyDescent="0.2">
      <c r="A51" s="232" t="s">
        <v>261</v>
      </c>
      <c r="B51" s="197"/>
      <c r="C51" s="197"/>
      <c r="D51" s="197"/>
      <c r="E51" s="197"/>
      <c r="F51" s="197"/>
      <c r="G51" s="197"/>
      <c r="H51" s="200"/>
      <c r="I51" s="135">
        <f t="shared" ref="I51:J51" si="2">SUM(I43:I50)</f>
        <v>0.36800000000000005</v>
      </c>
      <c r="J51" s="127">
        <f t="shared" si="2"/>
        <v>850.35</v>
      </c>
    </row>
    <row r="52" spans="1:11" ht="12.75" customHeight="1" x14ac:dyDescent="0.2">
      <c r="A52" s="225"/>
      <c r="B52" s="197"/>
      <c r="C52" s="197"/>
      <c r="D52" s="197"/>
      <c r="E52" s="197"/>
      <c r="F52" s="197"/>
      <c r="G52" s="197"/>
      <c r="H52" s="197"/>
      <c r="I52" s="197"/>
      <c r="J52" s="200"/>
    </row>
    <row r="53" spans="1:11" ht="15.75" customHeight="1" x14ac:dyDescent="0.2">
      <c r="A53" s="226" t="s">
        <v>281</v>
      </c>
      <c r="B53" s="197"/>
      <c r="C53" s="197"/>
      <c r="D53" s="197"/>
      <c r="E53" s="197"/>
      <c r="F53" s="197"/>
      <c r="G53" s="197"/>
      <c r="H53" s="197"/>
      <c r="I53" s="197"/>
      <c r="J53" s="200"/>
    </row>
    <row r="54" spans="1:11" ht="15.75" customHeight="1" x14ac:dyDescent="0.2">
      <c r="A54" s="128" t="s">
        <v>282</v>
      </c>
      <c r="B54" s="233" t="s">
        <v>283</v>
      </c>
      <c r="C54" s="197"/>
      <c r="D54" s="197"/>
      <c r="E54" s="197"/>
      <c r="F54" s="197"/>
      <c r="G54" s="197"/>
      <c r="H54" s="197"/>
      <c r="I54" s="200"/>
      <c r="J54" s="113" t="s">
        <v>258</v>
      </c>
    </row>
    <row r="55" spans="1:11" ht="12.75" customHeight="1" x14ac:dyDescent="0.2">
      <c r="A55" s="121" t="s">
        <v>185</v>
      </c>
      <c r="B55" s="231" t="s">
        <v>479</v>
      </c>
      <c r="C55" s="197"/>
      <c r="D55" s="197"/>
      <c r="E55" s="197"/>
      <c r="F55" s="197"/>
      <c r="G55" s="197"/>
      <c r="H55" s="197"/>
      <c r="I55" s="200"/>
      <c r="J55" s="130">
        <f>IF(ROUND((I58*I56*I57)-(J24*I59),2)&lt;0,0,ROUND((I58*I56*I57)-(J24*I59),2))</f>
        <v>105.57</v>
      </c>
    </row>
    <row r="56" spans="1:11" ht="12.75" customHeight="1" x14ac:dyDescent="0.2">
      <c r="A56" s="121"/>
      <c r="B56" s="244" t="s">
        <v>285</v>
      </c>
      <c r="C56" s="197"/>
      <c r="D56" s="197"/>
      <c r="E56" s="197"/>
      <c r="F56" s="197"/>
      <c r="G56" s="197"/>
      <c r="H56" s="200"/>
      <c r="I56" s="136">
        <v>4.5</v>
      </c>
      <c r="J56" s="137" t="s">
        <v>286</v>
      </c>
    </row>
    <row r="57" spans="1:11" ht="12.75" customHeight="1" x14ac:dyDescent="0.2">
      <c r="A57" s="121"/>
      <c r="B57" s="244" t="s">
        <v>287</v>
      </c>
      <c r="C57" s="197"/>
      <c r="D57" s="197"/>
      <c r="E57" s="197"/>
      <c r="F57" s="197"/>
      <c r="G57" s="197"/>
      <c r="H57" s="200"/>
      <c r="I57" s="138">
        <v>2</v>
      </c>
      <c r="J57" s="137"/>
    </row>
    <row r="58" spans="1:11" ht="12.75" customHeight="1" x14ac:dyDescent="0.2">
      <c r="A58" s="121"/>
      <c r="B58" s="244" t="s">
        <v>288</v>
      </c>
      <c r="C58" s="197"/>
      <c r="D58" s="197"/>
      <c r="E58" s="197"/>
      <c r="F58" s="197"/>
      <c r="G58" s="197"/>
      <c r="H58" s="200"/>
      <c r="I58" s="139">
        <v>22</v>
      </c>
      <c r="J58" s="137"/>
    </row>
    <row r="59" spans="1:11" ht="12.75" customHeight="1" x14ac:dyDescent="0.2">
      <c r="A59" s="121"/>
      <c r="B59" s="244" t="s">
        <v>456</v>
      </c>
      <c r="C59" s="197"/>
      <c r="D59" s="197"/>
      <c r="E59" s="197"/>
      <c r="F59" s="197"/>
      <c r="G59" s="197"/>
      <c r="H59" s="200"/>
      <c r="I59" s="140">
        <v>0.06</v>
      </c>
      <c r="J59" s="137"/>
    </row>
    <row r="60" spans="1:11" ht="12.75" customHeight="1" x14ac:dyDescent="0.2">
      <c r="A60" s="121" t="s">
        <v>187</v>
      </c>
      <c r="B60" s="231" t="s">
        <v>480</v>
      </c>
      <c r="C60" s="197"/>
      <c r="D60" s="197"/>
      <c r="E60" s="197"/>
      <c r="F60" s="197"/>
      <c r="G60" s="197"/>
      <c r="H60" s="197"/>
      <c r="I60" s="200"/>
      <c r="J60" s="130">
        <f>ROUND(I62*I61*(1-I63),2)</f>
        <v>210.99</v>
      </c>
      <c r="K60" s="163"/>
    </row>
    <row r="61" spans="1:11" ht="12.75" customHeight="1" x14ac:dyDescent="0.2">
      <c r="A61" s="121"/>
      <c r="B61" s="244" t="s">
        <v>481</v>
      </c>
      <c r="C61" s="197"/>
      <c r="D61" s="197"/>
      <c r="E61" s="197"/>
      <c r="F61" s="197"/>
      <c r="G61" s="197"/>
      <c r="H61" s="200"/>
      <c r="I61" s="136">
        <v>11.84</v>
      </c>
      <c r="J61" s="137" t="s">
        <v>286</v>
      </c>
    </row>
    <row r="62" spans="1:11" ht="12.75" customHeight="1" x14ac:dyDescent="0.2">
      <c r="A62" s="141"/>
      <c r="B62" s="244" t="s">
        <v>383</v>
      </c>
      <c r="C62" s="197"/>
      <c r="D62" s="197"/>
      <c r="E62" s="197"/>
      <c r="F62" s="197"/>
      <c r="G62" s="197"/>
      <c r="H62" s="200"/>
      <c r="I62" s="139">
        <v>22</v>
      </c>
      <c r="J62" s="137"/>
    </row>
    <row r="63" spans="1:11" ht="12.75" customHeight="1" x14ac:dyDescent="0.2">
      <c r="A63" s="141"/>
      <c r="B63" s="244" t="s">
        <v>383</v>
      </c>
      <c r="C63" s="197"/>
      <c r="D63" s="197"/>
      <c r="E63" s="197"/>
      <c r="F63" s="197"/>
      <c r="G63" s="197"/>
      <c r="H63" s="200"/>
      <c r="I63" s="142">
        <v>0.19</v>
      </c>
      <c r="J63" s="137"/>
    </row>
    <row r="64" spans="1:11" ht="12.75" customHeight="1" x14ac:dyDescent="0.2">
      <c r="A64" s="121" t="s">
        <v>190</v>
      </c>
      <c r="B64" s="213" t="s">
        <v>293</v>
      </c>
      <c r="C64" s="197"/>
      <c r="D64" s="197"/>
      <c r="E64" s="197"/>
      <c r="F64" s="197"/>
      <c r="G64" s="197"/>
      <c r="H64" s="197"/>
      <c r="I64" s="200"/>
      <c r="J64" s="130">
        <v>0</v>
      </c>
    </row>
    <row r="65" spans="1:10" ht="12.75" customHeight="1" x14ac:dyDescent="0.2">
      <c r="A65" s="121" t="s">
        <v>192</v>
      </c>
      <c r="B65" s="213" t="s">
        <v>459</v>
      </c>
      <c r="C65" s="197"/>
      <c r="D65" s="197"/>
      <c r="E65" s="197"/>
      <c r="F65" s="197"/>
      <c r="G65" s="197"/>
      <c r="H65" s="197"/>
      <c r="I65" s="200"/>
      <c r="J65" s="152">
        <v>19.420000000000002</v>
      </c>
    </row>
    <row r="66" spans="1:10" ht="12.75" customHeight="1" x14ac:dyDescent="0.2">
      <c r="A66" s="232" t="s">
        <v>253</v>
      </c>
      <c r="B66" s="197"/>
      <c r="C66" s="197"/>
      <c r="D66" s="197"/>
      <c r="E66" s="197"/>
      <c r="F66" s="197"/>
      <c r="G66" s="197"/>
      <c r="H66" s="197"/>
      <c r="I66" s="200"/>
      <c r="J66" s="127">
        <f>SUM(J55:J65)</f>
        <v>335.98</v>
      </c>
    </row>
    <row r="67" spans="1:10" ht="12.75" customHeight="1" x14ac:dyDescent="0.2">
      <c r="A67" s="225"/>
      <c r="B67" s="197"/>
      <c r="C67" s="197"/>
      <c r="D67" s="197"/>
      <c r="E67" s="197"/>
      <c r="F67" s="197"/>
      <c r="G67" s="197"/>
      <c r="H67" s="197"/>
      <c r="I67" s="197"/>
      <c r="J67" s="200"/>
    </row>
    <row r="68" spans="1:10" ht="15.75" customHeight="1" x14ac:dyDescent="0.2">
      <c r="A68" s="226" t="s">
        <v>294</v>
      </c>
      <c r="B68" s="197"/>
      <c r="C68" s="197"/>
      <c r="D68" s="197"/>
      <c r="E68" s="197"/>
      <c r="F68" s="197"/>
      <c r="G68" s="197"/>
      <c r="H68" s="197"/>
      <c r="I68" s="197"/>
      <c r="J68" s="200"/>
    </row>
    <row r="69" spans="1:10" ht="15.75" customHeight="1" x14ac:dyDescent="0.2">
      <c r="A69" s="113">
        <v>2</v>
      </c>
      <c r="B69" s="240" t="s">
        <v>295</v>
      </c>
      <c r="C69" s="197"/>
      <c r="D69" s="197"/>
      <c r="E69" s="197"/>
      <c r="F69" s="197"/>
      <c r="G69" s="197"/>
      <c r="H69" s="197"/>
      <c r="I69" s="200"/>
      <c r="J69" s="113" t="s">
        <v>258</v>
      </c>
    </row>
    <row r="70" spans="1:10" ht="14.25" customHeight="1" x14ac:dyDescent="0.2">
      <c r="A70" s="87" t="s">
        <v>256</v>
      </c>
      <c r="B70" s="87"/>
      <c r="C70" s="213" t="s">
        <v>482</v>
      </c>
      <c r="D70" s="197"/>
      <c r="E70" s="197"/>
      <c r="F70" s="197"/>
      <c r="G70" s="197"/>
      <c r="H70" s="197"/>
      <c r="I70" s="200"/>
      <c r="J70" s="143">
        <f>J39</f>
        <v>358.95</v>
      </c>
    </row>
    <row r="71" spans="1:10" ht="14.25" customHeight="1" x14ac:dyDescent="0.2">
      <c r="A71" s="87" t="s">
        <v>264</v>
      </c>
      <c r="B71" s="87"/>
      <c r="C71" s="213" t="s">
        <v>265</v>
      </c>
      <c r="D71" s="197"/>
      <c r="E71" s="197"/>
      <c r="F71" s="197"/>
      <c r="G71" s="197"/>
      <c r="H71" s="197"/>
      <c r="I71" s="200"/>
      <c r="J71" s="143">
        <f>J51</f>
        <v>850.35</v>
      </c>
    </row>
    <row r="72" spans="1:10" ht="14.25" customHeight="1" x14ac:dyDescent="0.2">
      <c r="A72" s="87" t="s">
        <v>282</v>
      </c>
      <c r="B72" s="87"/>
      <c r="C72" s="213" t="s">
        <v>283</v>
      </c>
      <c r="D72" s="197"/>
      <c r="E72" s="197"/>
      <c r="F72" s="197"/>
      <c r="G72" s="197"/>
      <c r="H72" s="197"/>
      <c r="I72" s="200"/>
      <c r="J72" s="143">
        <f>J66</f>
        <v>335.98</v>
      </c>
    </row>
    <row r="73" spans="1:10" ht="14.25" customHeight="1" x14ac:dyDescent="0.2">
      <c r="A73" s="243" t="s">
        <v>261</v>
      </c>
      <c r="B73" s="197"/>
      <c r="C73" s="197"/>
      <c r="D73" s="197"/>
      <c r="E73" s="197"/>
      <c r="F73" s="197"/>
      <c r="G73" s="197"/>
      <c r="H73" s="197"/>
      <c r="I73" s="200"/>
      <c r="J73" s="144">
        <f>SUM(J70+J71+J72)</f>
        <v>1545.28</v>
      </c>
    </row>
    <row r="74" spans="1:10" ht="12.75" customHeight="1" x14ac:dyDescent="0.2">
      <c r="A74" s="225"/>
      <c r="B74" s="197"/>
      <c r="C74" s="197"/>
      <c r="D74" s="197"/>
      <c r="E74" s="197"/>
      <c r="F74" s="197"/>
      <c r="G74" s="197"/>
      <c r="H74" s="197"/>
      <c r="I74" s="197"/>
      <c r="J74" s="200"/>
    </row>
    <row r="75" spans="1:10" ht="15.75" customHeight="1" x14ac:dyDescent="0.2">
      <c r="A75" s="226" t="s">
        <v>297</v>
      </c>
      <c r="B75" s="197"/>
      <c r="C75" s="197"/>
      <c r="D75" s="197"/>
      <c r="E75" s="197"/>
      <c r="F75" s="197"/>
      <c r="G75" s="197"/>
      <c r="H75" s="197"/>
      <c r="I75" s="197"/>
      <c r="J75" s="200"/>
    </row>
    <row r="76" spans="1:10" ht="15.75" customHeight="1" x14ac:dyDescent="0.2">
      <c r="A76" s="128">
        <v>3</v>
      </c>
      <c r="B76" s="240" t="s">
        <v>298</v>
      </c>
      <c r="C76" s="197"/>
      <c r="D76" s="197"/>
      <c r="E76" s="197"/>
      <c r="F76" s="197"/>
      <c r="G76" s="197"/>
      <c r="H76" s="197"/>
      <c r="I76" s="200"/>
      <c r="J76" s="128" t="s">
        <v>299</v>
      </c>
    </row>
    <row r="77" spans="1:10" ht="46.5" customHeight="1" x14ac:dyDescent="0.2">
      <c r="A77" s="121" t="s">
        <v>185</v>
      </c>
      <c r="B77" s="213" t="s">
        <v>483</v>
      </c>
      <c r="C77" s="197"/>
      <c r="D77" s="197"/>
      <c r="E77" s="197"/>
      <c r="F77" s="197"/>
      <c r="G77" s="197"/>
      <c r="H77" s="197"/>
      <c r="I77" s="200"/>
      <c r="J77" s="130">
        <f>ROUND((($J$30/12)+($J$35/12)+($J$30*0.121/12))*(30/30)*0.05,2)</f>
        <v>11.6</v>
      </c>
    </row>
    <row r="78" spans="1:10" ht="14.25" customHeight="1" x14ac:dyDescent="0.2">
      <c r="A78" s="121" t="s">
        <v>187</v>
      </c>
      <c r="B78" s="213" t="s">
        <v>301</v>
      </c>
      <c r="C78" s="197"/>
      <c r="D78" s="197"/>
      <c r="E78" s="197"/>
      <c r="F78" s="197"/>
      <c r="G78" s="197"/>
      <c r="H78" s="197"/>
      <c r="I78" s="200"/>
      <c r="J78" s="130">
        <f>ROUND($J$77*I50,2)</f>
        <v>0.93</v>
      </c>
    </row>
    <row r="79" spans="1:10" ht="27" customHeight="1" x14ac:dyDescent="0.2">
      <c r="A79" s="121" t="s">
        <v>190</v>
      </c>
      <c r="B79" s="213" t="s">
        <v>484</v>
      </c>
      <c r="C79" s="197"/>
      <c r="D79" s="197"/>
      <c r="E79" s="197"/>
      <c r="F79" s="197"/>
      <c r="G79" s="197"/>
      <c r="H79" s="197"/>
      <c r="I79" s="200"/>
      <c r="J79" s="130">
        <f>ROUND(((($J$30/30)*7)/$H$11)*1,2)</f>
        <v>8.99</v>
      </c>
    </row>
    <row r="80" spans="1:10" ht="14.25" customHeight="1" x14ac:dyDescent="0.2">
      <c r="A80" s="121" t="s">
        <v>192</v>
      </c>
      <c r="B80" s="213" t="s">
        <v>303</v>
      </c>
      <c r="C80" s="197"/>
      <c r="D80" s="197"/>
      <c r="E80" s="197"/>
      <c r="F80" s="197"/>
      <c r="G80" s="197"/>
      <c r="H80" s="197"/>
      <c r="I80" s="200"/>
      <c r="J80" s="130">
        <f>ROUND($I$51*J79,2)</f>
        <v>3.31</v>
      </c>
    </row>
    <row r="81" spans="1:10" ht="36" customHeight="1" x14ac:dyDescent="0.2">
      <c r="A81" s="121" t="s">
        <v>250</v>
      </c>
      <c r="B81" s="213" t="s">
        <v>485</v>
      </c>
      <c r="C81" s="197"/>
      <c r="D81" s="197"/>
      <c r="E81" s="197"/>
      <c r="F81" s="197"/>
      <c r="G81" s="197"/>
      <c r="H81" s="200"/>
      <c r="I81" s="145">
        <v>0.04</v>
      </c>
      <c r="J81" s="130">
        <f>ROUND($J$30*I81,2)</f>
        <v>92.43</v>
      </c>
    </row>
    <row r="82" spans="1:10" ht="12.75" customHeight="1" x14ac:dyDescent="0.2">
      <c r="A82" s="232" t="s">
        <v>261</v>
      </c>
      <c r="B82" s="197"/>
      <c r="C82" s="197"/>
      <c r="D82" s="197"/>
      <c r="E82" s="197"/>
      <c r="F82" s="197"/>
      <c r="G82" s="197"/>
      <c r="H82" s="197"/>
      <c r="I82" s="200"/>
      <c r="J82" s="127">
        <f>SUM(J77:J81)</f>
        <v>117.26</v>
      </c>
    </row>
    <row r="83" spans="1:10" ht="12.75" customHeight="1" x14ac:dyDescent="0.2">
      <c r="A83" s="225"/>
      <c r="B83" s="197"/>
      <c r="C83" s="197"/>
      <c r="D83" s="197"/>
      <c r="E83" s="197"/>
      <c r="F83" s="197"/>
      <c r="G83" s="197"/>
      <c r="H83" s="197"/>
      <c r="I83" s="197"/>
      <c r="J83" s="200"/>
    </row>
    <row r="84" spans="1:10" ht="15.75" customHeight="1" x14ac:dyDescent="0.2">
      <c r="A84" s="226" t="s">
        <v>305</v>
      </c>
      <c r="B84" s="197"/>
      <c r="C84" s="197"/>
      <c r="D84" s="197"/>
      <c r="E84" s="197"/>
      <c r="F84" s="197"/>
      <c r="G84" s="197"/>
      <c r="H84" s="197"/>
      <c r="I84" s="197"/>
      <c r="J84" s="200"/>
    </row>
    <row r="85" spans="1:10" ht="15" customHeight="1" x14ac:dyDescent="0.2">
      <c r="A85" s="245" t="s">
        <v>306</v>
      </c>
      <c r="B85" s="197"/>
      <c r="C85" s="197"/>
      <c r="D85" s="197"/>
      <c r="E85" s="197"/>
      <c r="F85" s="197"/>
      <c r="G85" s="197"/>
      <c r="H85" s="197"/>
      <c r="I85" s="200"/>
      <c r="J85" s="146">
        <f>J88+J30+J35+J36</f>
        <v>2782.85</v>
      </c>
    </row>
    <row r="86" spans="1:10" ht="14.25" customHeight="1" x14ac:dyDescent="0.2">
      <c r="A86" s="246"/>
      <c r="B86" s="197"/>
      <c r="C86" s="197"/>
      <c r="D86" s="197"/>
      <c r="E86" s="197"/>
      <c r="F86" s="197"/>
      <c r="G86" s="197"/>
      <c r="H86" s="197"/>
      <c r="I86" s="197"/>
      <c r="J86" s="200"/>
    </row>
    <row r="87" spans="1:10" ht="15" customHeight="1" x14ac:dyDescent="0.25">
      <c r="A87" s="147" t="s">
        <v>307</v>
      </c>
      <c r="B87" s="233" t="s">
        <v>308</v>
      </c>
      <c r="C87" s="197"/>
      <c r="D87" s="197"/>
      <c r="E87" s="197"/>
      <c r="F87" s="197"/>
      <c r="G87" s="197"/>
      <c r="H87" s="197"/>
      <c r="I87" s="200"/>
      <c r="J87" s="147" t="s">
        <v>258</v>
      </c>
    </row>
    <row r="88" spans="1:10" ht="12.75" customHeight="1" x14ac:dyDescent="0.2">
      <c r="A88" s="125" t="s">
        <v>185</v>
      </c>
      <c r="B88" s="213" t="s">
        <v>309</v>
      </c>
      <c r="C88" s="197"/>
      <c r="D88" s="197"/>
      <c r="E88" s="197"/>
      <c r="F88" s="197"/>
      <c r="G88" s="197"/>
      <c r="H88" s="200"/>
      <c r="I88" s="124">
        <v>9.0749999999999997E-2</v>
      </c>
      <c r="J88" s="130">
        <f>ROUND(($J$30*I88),2)</f>
        <v>209.7</v>
      </c>
    </row>
    <row r="89" spans="1:10" ht="12.75" customHeight="1" x14ac:dyDescent="0.2">
      <c r="A89" s="125" t="s">
        <v>187</v>
      </c>
      <c r="B89" s="231" t="s">
        <v>486</v>
      </c>
      <c r="C89" s="197"/>
      <c r="D89" s="197"/>
      <c r="E89" s="197"/>
      <c r="F89" s="197"/>
      <c r="G89" s="197"/>
      <c r="H89" s="197"/>
      <c r="I89" s="200"/>
      <c r="J89" s="148">
        <f>ROUND((($J$85/30)*2.96)/12,2)</f>
        <v>22.88</v>
      </c>
    </row>
    <row r="90" spans="1:10" ht="12.75" customHeight="1" x14ac:dyDescent="0.2">
      <c r="A90" s="125" t="s">
        <v>190</v>
      </c>
      <c r="B90" s="231" t="s">
        <v>487</v>
      </c>
      <c r="C90" s="197"/>
      <c r="D90" s="197"/>
      <c r="E90" s="197"/>
      <c r="F90" s="197"/>
      <c r="G90" s="197"/>
      <c r="H90" s="197"/>
      <c r="I90" s="200"/>
      <c r="J90" s="148">
        <f>ROUND((($J$85/30)*5)/12*0.015,2)</f>
        <v>0.57999999999999996</v>
      </c>
    </row>
    <row r="91" spans="1:10" ht="12.75" customHeight="1" x14ac:dyDescent="0.2">
      <c r="A91" s="125" t="s">
        <v>192</v>
      </c>
      <c r="B91" s="231" t="s">
        <v>488</v>
      </c>
      <c r="C91" s="197"/>
      <c r="D91" s="197"/>
      <c r="E91" s="197"/>
      <c r="F91" s="197"/>
      <c r="G91" s="197"/>
      <c r="H91" s="197"/>
      <c r="I91" s="200"/>
      <c r="J91" s="126">
        <f>ROUND(((($J$85/30)*0.97)/12),2)</f>
        <v>7.5</v>
      </c>
    </row>
    <row r="92" spans="1:10" ht="12.75" customHeight="1" x14ac:dyDescent="0.2">
      <c r="A92" s="125" t="s">
        <v>250</v>
      </c>
      <c r="B92" s="213" t="s">
        <v>489</v>
      </c>
      <c r="C92" s="197"/>
      <c r="D92" s="197"/>
      <c r="E92" s="197"/>
      <c r="F92" s="197"/>
      <c r="G92" s="197"/>
      <c r="H92" s="197"/>
      <c r="I92" s="200"/>
      <c r="J92" s="130">
        <f>ROUND(((((J30*0.121)+(I51)*(J30*0.121))*(4/12)))*0.02,2)+ROUND(((I50*J30+I51*J35+J66-J55-J60+J82)*4/12)*0.02,2)</f>
        <v>5.17</v>
      </c>
    </row>
    <row r="93" spans="1:10" ht="12.75" customHeight="1" x14ac:dyDescent="0.2">
      <c r="A93" s="149" t="s">
        <v>275</v>
      </c>
      <c r="B93" s="247" t="s">
        <v>490</v>
      </c>
      <c r="C93" s="197"/>
      <c r="D93" s="197"/>
      <c r="E93" s="197"/>
      <c r="F93" s="197"/>
      <c r="G93" s="197"/>
      <c r="H93" s="197"/>
      <c r="I93" s="200"/>
      <c r="J93" s="126">
        <f>ROUND(((($J$85/30)*3)/12),2)</f>
        <v>23.19</v>
      </c>
    </row>
    <row r="94" spans="1:10" ht="12.75" customHeight="1" x14ac:dyDescent="0.2">
      <c r="A94" s="232" t="s">
        <v>261</v>
      </c>
      <c r="B94" s="197"/>
      <c r="C94" s="197"/>
      <c r="D94" s="197"/>
      <c r="E94" s="197"/>
      <c r="F94" s="197"/>
      <c r="G94" s="197"/>
      <c r="H94" s="197"/>
      <c r="I94" s="200"/>
      <c r="J94" s="150">
        <f>SUM(J88:J93)</f>
        <v>269.02</v>
      </c>
    </row>
    <row r="95" spans="1:10" ht="14.25" customHeight="1" x14ac:dyDescent="0.2">
      <c r="A95" s="125" t="s">
        <v>277</v>
      </c>
      <c r="B95" s="231" t="s">
        <v>315</v>
      </c>
      <c r="C95" s="197"/>
      <c r="D95" s="197"/>
      <c r="E95" s="197"/>
      <c r="F95" s="197"/>
      <c r="G95" s="197"/>
      <c r="H95" s="197"/>
      <c r="I95" s="200"/>
      <c r="J95" s="126">
        <f>ROUND(I51*J94,2)</f>
        <v>99</v>
      </c>
    </row>
    <row r="96" spans="1:10" ht="12.75" customHeight="1" x14ac:dyDescent="0.2">
      <c r="A96" s="232" t="s">
        <v>261</v>
      </c>
      <c r="B96" s="197"/>
      <c r="C96" s="197"/>
      <c r="D96" s="197"/>
      <c r="E96" s="197"/>
      <c r="F96" s="197"/>
      <c r="G96" s="197"/>
      <c r="H96" s="197"/>
      <c r="I96" s="200"/>
      <c r="J96" s="127">
        <f>SUM(J94:J95)</f>
        <v>368.02</v>
      </c>
    </row>
    <row r="97" spans="1:10" ht="15.75" customHeight="1" x14ac:dyDescent="0.2">
      <c r="A97" s="226" t="s">
        <v>316</v>
      </c>
      <c r="B97" s="197"/>
      <c r="C97" s="197"/>
      <c r="D97" s="197"/>
      <c r="E97" s="197"/>
      <c r="F97" s="197"/>
      <c r="G97" s="197"/>
      <c r="H97" s="197"/>
      <c r="I97" s="197"/>
      <c r="J97" s="200"/>
    </row>
    <row r="98" spans="1:10" ht="15" customHeight="1" x14ac:dyDescent="0.2">
      <c r="A98" s="128" t="s">
        <v>317</v>
      </c>
      <c r="B98" s="233" t="s">
        <v>318</v>
      </c>
      <c r="C98" s="197"/>
      <c r="D98" s="197"/>
      <c r="E98" s="197"/>
      <c r="F98" s="197"/>
      <c r="G98" s="197"/>
      <c r="H98" s="197"/>
      <c r="I98" s="200"/>
      <c r="J98" s="151" t="s">
        <v>258</v>
      </c>
    </row>
    <row r="99" spans="1:10" ht="12.75" customHeight="1" x14ac:dyDescent="0.2">
      <c r="A99" s="121" t="s">
        <v>185</v>
      </c>
      <c r="B99" s="231" t="s">
        <v>319</v>
      </c>
      <c r="C99" s="197"/>
      <c r="D99" s="197"/>
      <c r="E99" s="197"/>
      <c r="F99" s="197"/>
      <c r="G99" s="197"/>
      <c r="H99" s="197"/>
      <c r="I99" s="200"/>
      <c r="J99" s="130">
        <v>0</v>
      </c>
    </row>
    <row r="100" spans="1:10" ht="12.75" customHeight="1" x14ac:dyDescent="0.2">
      <c r="A100" s="248" t="s">
        <v>261</v>
      </c>
      <c r="B100" s="197"/>
      <c r="C100" s="197"/>
      <c r="D100" s="197"/>
      <c r="E100" s="197"/>
      <c r="F100" s="197"/>
      <c r="G100" s="197"/>
      <c r="H100" s="197"/>
      <c r="I100" s="200"/>
      <c r="J100" s="130">
        <v>0</v>
      </c>
    </row>
    <row r="101" spans="1:10" ht="12.75" customHeight="1" x14ac:dyDescent="0.2">
      <c r="A101" s="125" t="s">
        <v>187</v>
      </c>
      <c r="B101" s="231" t="s">
        <v>320</v>
      </c>
      <c r="C101" s="197"/>
      <c r="D101" s="197"/>
      <c r="E101" s="197"/>
      <c r="F101" s="197"/>
      <c r="G101" s="197"/>
      <c r="H101" s="197"/>
      <c r="I101" s="200"/>
      <c r="J101" s="126">
        <f>ROUND(I51*J100,2)</f>
        <v>0</v>
      </c>
    </row>
    <row r="102" spans="1:10" ht="12.75" customHeight="1" x14ac:dyDescent="0.2">
      <c r="A102" s="232" t="s">
        <v>261</v>
      </c>
      <c r="B102" s="197"/>
      <c r="C102" s="197"/>
      <c r="D102" s="197"/>
      <c r="E102" s="197"/>
      <c r="F102" s="197"/>
      <c r="G102" s="197"/>
      <c r="H102" s="197"/>
      <c r="I102" s="200"/>
      <c r="J102" s="127">
        <f>SUM(J100:J101)</f>
        <v>0</v>
      </c>
    </row>
    <row r="103" spans="1:10" ht="12.75" customHeight="1" x14ac:dyDescent="0.2">
      <c r="A103" s="256"/>
      <c r="B103" s="197"/>
      <c r="C103" s="197"/>
      <c r="D103" s="197"/>
      <c r="E103" s="197"/>
      <c r="F103" s="197"/>
      <c r="G103" s="197"/>
      <c r="H103" s="197"/>
      <c r="I103" s="197"/>
      <c r="J103" s="200"/>
    </row>
    <row r="104" spans="1:10" ht="15.75" customHeight="1" x14ac:dyDescent="0.2">
      <c r="A104" s="226" t="s">
        <v>321</v>
      </c>
      <c r="B104" s="197"/>
      <c r="C104" s="197"/>
      <c r="D104" s="197"/>
      <c r="E104" s="197"/>
      <c r="F104" s="197"/>
      <c r="G104" s="197"/>
      <c r="H104" s="197"/>
      <c r="I104" s="197"/>
      <c r="J104" s="200"/>
    </row>
    <row r="105" spans="1:10" ht="15.75" customHeight="1" x14ac:dyDescent="0.2">
      <c r="A105" s="113">
        <v>4</v>
      </c>
      <c r="B105" s="240" t="s">
        <v>322</v>
      </c>
      <c r="C105" s="197"/>
      <c r="D105" s="197"/>
      <c r="E105" s="197"/>
      <c r="F105" s="197"/>
      <c r="G105" s="197"/>
      <c r="H105" s="197"/>
      <c r="I105" s="200"/>
      <c r="J105" s="151" t="s">
        <v>258</v>
      </c>
    </row>
    <row r="106" spans="1:10" ht="14.25" customHeight="1" x14ac:dyDescent="0.2">
      <c r="A106" s="87" t="s">
        <v>307</v>
      </c>
      <c r="B106" s="213" t="s">
        <v>323</v>
      </c>
      <c r="C106" s="197"/>
      <c r="D106" s="197"/>
      <c r="E106" s="197"/>
      <c r="F106" s="197"/>
      <c r="G106" s="197"/>
      <c r="H106" s="197"/>
      <c r="I106" s="200"/>
      <c r="J106" s="130">
        <f>J96</f>
        <v>368.02</v>
      </c>
    </row>
    <row r="107" spans="1:10" ht="14.25" customHeight="1" x14ac:dyDescent="0.2">
      <c r="A107" s="87" t="s">
        <v>324</v>
      </c>
      <c r="B107" s="213" t="s">
        <v>325</v>
      </c>
      <c r="C107" s="197"/>
      <c r="D107" s="197"/>
      <c r="E107" s="197"/>
      <c r="F107" s="197"/>
      <c r="G107" s="197"/>
      <c r="H107" s="197"/>
      <c r="I107" s="200"/>
      <c r="J107" s="130">
        <f>J102</f>
        <v>0</v>
      </c>
    </row>
    <row r="108" spans="1:10" ht="14.25" customHeight="1" x14ac:dyDescent="0.2">
      <c r="A108" s="243" t="s">
        <v>261</v>
      </c>
      <c r="B108" s="197"/>
      <c r="C108" s="197"/>
      <c r="D108" s="197"/>
      <c r="E108" s="197"/>
      <c r="F108" s="197"/>
      <c r="G108" s="197"/>
      <c r="H108" s="197"/>
      <c r="I108" s="200"/>
      <c r="J108" s="127">
        <f>SUM(J106+J107)</f>
        <v>368.02</v>
      </c>
    </row>
    <row r="109" spans="1:10" ht="12.75" customHeight="1" x14ac:dyDescent="0.2">
      <c r="A109" s="225"/>
      <c r="B109" s="197"/>
      <c r="C109" s="197"/>
      <c r="D109" s="197"/>
      <c r="E109" s="197"/>
      <c r="F109" s="197"/>
      <c r="G109" s="197"/>
      <c r="H109" s="197"/>
      <c r="I109" s="197"/>
      <c r="J109" s="200"/>
    </row>
    <row r="110" spans="1:10" ht="15.75" customHeight="1" x14ac:dyDescent="0.2">
      <c r="A110" s="226" t="s">
        <v>326</v>
      </c>
      <c r="B110" s="197"/>
      <c r="C110" s="197"/>
      <c r="D110" s="197"/>
      <c r="E110" s="197"/>
      <c r="F110" s="197"/>
      <c r="G110" s="197"/>
      <c r="H110" s="197"/>
      <c r="I110" s="197"/>
      <c r="J110" s="200"/>
    </row>
    <row r="111" spans="1:10" ht="15.75" customHeight="1" x14ac:dyDescent="0.2">
      <c r="A111" s="128">
        <v>5</v>
      </c>
      <c r="B111" s="233" t="s">
        <v>327</v>
      </c>
      <c r="C111" s="197"/>
      <c r="D111" s="197"/>
      <c r="E111" s="197"/>
      <c r="F111" s="197"/>
      <c r="G111" s="197"/>
      <c r="H111" s="197"/>
      <c r="I111" s="200"/>
      <c r="J111" s="128" t="s">
        <v>258</v>
      </c>
    </row>
    <row r="112" spans="1:10" ht="12.75" customHeight="1" x14ac:dyDescent="0.2">
      <c r="A112" s="121" t="s">
        <v>185</v>
      </c>
      <c r="B112" s="231" t="s">
        <v>328</v>
      </c>
      <c r="C112" s="197"/>
      <c r="D112" s="197"/>
      <c r="E112" s="197"/>
      <c r="F112" s="197"/>
      <c r="G112" s="197"/>
      <c r="H112" s="197"/>
      <c r="I112" s="200"/>
      <c r="J112" s="130">
        <f>'INSUMOS - Gravataí'!D199</f>
        <v>136.33416666666665</v>
      </c>
    </row>
    <row r="113" spans="1:10" ht="12.75" customHeight="1" x14ac:dyDescent="0.2">
      <c r="A113" s="121" t="s">
        <v>187</v>
      </c>
      <c r="B113" s="231" t="s">
        <v>329</v>
      </c>
      <c r="C113" s="197"/>
      <c r="D113" s="197"/>
      <c r="E113" s="197"/>
      <c r="F113" s="197"/>
      <c r="G113" s="197"/>
      <c r="H113" s="197"/>
      <c r="I113" s="200"/>
      <c r="J113" s="152">
        <f>'INSUMOS - Gravataí'!D196+'INSUMOS - Gravataí'!D197</f>
        <v>1110.9616666666666</v>
      </c>
    </row>
    <row r="114" spans="1:10" ht="12.75" customHeight="1" x14ac:dyDescent="0.2">
      <c r="A114" s="121" t="s">
        <v>190</v>
      </c>
      <c r="B114" s="231" t="s">
        <v>330</v>
      </c>
      <c r="C114" s="197"/>
      <c r="D114" s="197"/>
      <c r="E114" s="197"/>
      <c r="F114" s="197"/>
      <c r="G114" s="197"/>
      <c r="H114" s="197"/>
      <c r="I114" s="200"/>
      <c r="J114" s="152">
        <f>'INSUMOS - Gravataí'!D198</f>
        <v>369.12041666666664</v>
      </c>
    </row>
    <row r="115" spans="1:10" ht="12.75" customHeight="1" x14ac:dyDescent="0.2">
      <c r="A115" s="121" t="s">
        <v>192</v>
      </c>
      <c r="B115" s="231" t="s">
        <v>331</v>
      </c>
      <c r="C115" s="197"/>
      <c r="D115" s="197"/>
      <c r="E115" s="197"/>
      <c r="F115" s="197"/>
      <c r="G115" s="197"/>
      <c r="H115" s="197"/>
      <c r="I115" s="200"/>
      <c r="J115" s="152" t="s">
        <v>332</v>
      </c>
    </row>
    <row r="116" spans="1:10" ht="12.75" customHeight="1" x14ac:dyDescent="0.2">
      <c r="A116" s="232" t="s">
        <v>253</v>
      </c>
      <c r="B116" s="197"/>
      <c r="C116" s="197"/>
      <c r="D116" s="197"/>
      <c r="E116" s="197"/>
      <c r="F116" s="197"/>
      <c r="G116" s="197"/>
      <c r="H116" s="197"/>
      <c r="I116" s="200"/>
      <c r="J116" s="153">
        <f>SUM(J112:J115)</f>
        <v>1616.4162499999998</v>
      </c>
    </row>
    <row r="117" spans="1:10" ht="12.75" customHeight="1" x14ac:dyDescent="0.2">
      <c r="A117" s="225"/>
      <c r="B117" s="197"/>
      <c r="C117" s="197"/>
      <c r="D117" s="197"/>
      <c r="E117" s="197"/>
      <c r="F117" s="197"/>
      <c r="G117" s="197"/>
      <c r="H117" s="197"/>
      <c r="I117" s="197"/>
      <c r="J117" s="200"/>
    </row>
    <row r="118" spans="1:10" ht="15.75" customHeight="1" x14ac:dyDescent="0.2">
      <c r="A118" s="226" t="s">
        <v>333</v>
      </c>
      <c r="B118" s="197"/>
      <c r="C118" s="197"/>
      <c r="D118" s="197"/>
      <c r="E118" s="197"/>
      <c r="F118" s="197"/>
      <c r="G118" s="197"/>
      <c r="H118" s="197"/>
      <c r="I118" s="197"/>
      <c r="J118" s="200"/>
    </row>
    <row r="119" spans="1:10" ht="30" customHeight="1" x14ac:dyDescent="0.2">
      <c r="A119" s="128">
        <v>6</v>
      </c>
      <c r="B119" s="233" t="s">
        <v>334</v>
      </c>
      <c r="C119" s="197"/>
      <c r="D119" s="197"/>
      <c r="E119" s="197"/>
      <c r="F119" s="197"/>
      <c r="G119" s="197"/>
      <c r="H119" s="200"/>
      <c r="I119" s="113" t="s">
        <v>266</v>
      </c>
      <c r="J119" s="154" t="s">
        <v>335</v>
      </c>
    </row>
    <row r="120" spans="1:10" ht="12.75" customHeight="1" x14ac:dyDescent="0.2">
      <c r="A120" s="229" t="s">
        <v>336</v>
      </c>
      <c r="B120" s="197"/>
      <c r="C120" s="197"/>
      <c r="D120" s="197"/>
      <c r="E120" s="197"/>
      <c r="F120" s="197"/>
      <c r="G120" s="197"/>
      <c r="H120" s="200"/>
      <c r="I120" s="155" t="s">
        <v>286</v>
      </c>
      <c r="J120" s="156">
        <f>SUM(J30+J73+J82+J108+J116)</f>
        <v>5957.7362499999999</v>
      </c>
    </row>
    <row r="121" spans="1:10" ht="15.75" customHeight="1" x14ac:dyDescent="0.2">
      <c r="A121" s="157" t="s">
        <v>185</v>
      </c>
      <c r="B121" s="257" t="s">
        <v>337</v>
      </c>
      <c r="C121" s="197"/>
      <c r="D121" s="197"/>
      <c r="E121" s="197"/>
      <c r="F121" s="197"/>
      <c r="G121" s="197"/>
      <c r="H121" s="200"/>
      <c r="I121" s="129">
        <v>0.03</v>
      </c>
      <c r="J121" s="130">
        <f>ROUND(I121*J120,2)</f>
        <v>178.73</v>
      </c>
    </row>
    <row r="122" spans="1:10" ht="12.75" customHeight="1" x14ac:dyDescent="0.2">
      <c r="A122" s="229" t="s">
        <v>338</v>
      </c>
      <c r="B122" s="197"/>
      <c r="C122" s="197"/>
      <c r="D122" s="197"/>
      <c r="E122" s="197"/>
      <c r="F122" s="197"/>
      <c r="G122" s="197"/>
      <c r="H122" s="200"/>
      <c r="I122" s="158" t="s">
        <v>286</v>
      </c>
      <c r="J122" s="156">
        <f>SUM(J30+J73+J82+J108+J116+J121)</f>
        <v>6136.4662499999995</v>
      </c>
    </row>
    <row r="123" spans="1:10" ht="15.75" customHeight="1" x14ac:dyDescent="0.2">
      <c r="A123" s="157" t="s">
        <v>187</v>
      </c>
      <c r="B123" s="257" t="s">
        <v>339</v>
      </c>
      <c r="C123" s="197"/>
      <c r="D123" s="197"/>
      <c r="E123" s="197"/>
      <c r="F123" s="197"/>
      <c r="G123" s="197"/>
      <c r="H123" s="200"/>
      <c r="I123" s="129">
        <v>6.7900000000000002E-2</v>
      </c>
      <c r="J123" s="130">
        <f>ROUND(I123*J122,2)</f>
        <v>416.67</v>
      </c>
    </row>
    <row r="124" spans="1:10" ht="12.75" customHeight="1" x14ac:dyDescent="0.2">
      <c r="A124" s="229" t="s">
        <v>340</v>
      </c>
      <c r="B124" s="197"/>
      <c r="C124" s="197"/>
      <c r="D124" s="197"/>
      <c r="E124" s="197"/>
      <c r="F124" s="197"/>
      <c r="G124" s="197"/>
      <c r="H124" s="200"/>
      <c r="I124" s="158" t="s">
        <v>286</v>
      </c>
      <c r="J124" s="156">
        <f>SUM(J30+J73+J82+J108+J116+J121+J123)</f>
        <v>6553.1362499999996</v>
      </c>
    </row>
    <row r="125" spans="1:10" ht="15.75" customHeight="1" x14ac:dyDescent="0.2">
      <c r="A125" s="157" t="s">
        <v>190</v>
      </c>
      <c r="B125" s="257" t="s">
        <v>341</v>
      </c>
      <c r="C125" s="197"/>
      <c r="D125" s="197"/>
      <c r="E125" s="197"/>
      <c r="F125" s="197"/>
      <c r="G125" s="197"/>
      <c r="H125" s="200"/>
      <c r="I125" s="122" t="s">
        <v>286</v>
      </c>
      <c r="J125" s="137" t="s">
        <v>286</v>
      </c>
    </row>
    <row r="126" spans="1:10" ht="12.75" customHeight="1" x14ac:dyDescent="0.2">
      <c r="A126" s="121"/>
      <c r="B126" s="231" t="s">
        <v>342</v>
      </c>
      <c r="C126" s="197"/>
      <c r="D126" s="197"/>
      <c r="E126" s="197"/>
      <c r="F126" s="197"/>
      <c r="G126" s="197"/>
      <c r="H126" s="200"/>
      <c r="I126" s="122" t="s">
        <v>286</v>
      </c>
      <c r="J126" s="137" t="s">
        <v>286</v>
      </c>
    </row>
    <row r="127" spans="1:10" ht="12.75" customHeight="1" x14ac:dyDescent="0.2">
      <c r="A127" s="121"/>
      <c r="B127" s="231" t="s">
        <v>491</v>
      </c>
      <c r="C127" s="197"/>
      <c r="D127" s="197"/>
      <c r="E127" s="197"/>
      <c r="F127" s="197"/>
      <c r="G127" s="197"/>
      <c r="H127" s="200"/>
      <c r="I127" s="116">
        <v>7.5999999999999998E-2</v>
      </c>
      <c r="J127" s="130">
        <f t="shared" ref="J127:J128" si="3">ROUND(($J$124/(1-$I$136))*I127,2)</f>
        <v>564.35</v>
      </c>
    </row>
    <row r="128" spans="1:10" ht="12.75" customHeight="1" x14ac:dyDescent="0.2">
      <c r="A128" s="121"/>
      <c r="B128" s="231" t="s">
        <v>492</v>
      </c>
      <c r="C128" s="197"/>
      <c r="D128" s="197"/>
      <c r="E128" s="197"/>
      <c r="F128" s="197"/>
      <c r="G128" s="197"/>
      <c r="H128" s="200"/>
      <c r="I128" s="116">
        <v>1.6500000000000001E-2</v>
      </c>
      <c r="J128" s="130">
        <f t="shared" si="3"/>
        <v>122.52</v>
      </c>
    </row>
    <row r="129" spans="1:10" ht="27" customHeight="1" x14ac:dyDescent="0.2">
      <c r="A129" s="121"/>
      <c r="B129" s="213" t="s">
        <v>345</v>
      </c>
      <c r="C129" s="197"/>
      <c r="D129" s="197"/>
      <c r="E129" s="197"/>
      <c r="F129" s="197"/>
      <c r="G129" s="197"/>
      <c r="H129" s="200"/>
      <c r="I129" s="159" t="s">
        <v>286</v>
      </c>
      <c r="J129" s="137" t="s">
        <v>286</v>
      </c>
    </row>
    <row r="130" spans="1:10" ht="27" customHeight="1" x14ac:dyDescent="0.2">
      <c r="A130" s="121"/>
      <c r="B130" s="213" t="s">
        <v>346</v>
      </c>
      <c r="C130" s="197"/>
      <c r="D130" s="197"/>
      <c r="E130" s="197"/>
      <c r="F130" s="197"/>
      <c r="G130" s="197"/>
      <c r="H130" s="200"/>
      <c r="I130" s="159" t="s">
        <v>286</v>
      </c>
      <c r="J130" s="137" t="s">
        <v>286</v>
      </c>
    </row>
    <row r="131" spans="1:10" ht="12.75" customHeight="1" x14ac:dyDescent="0.2">
      <c r="A131" s="121"/>
      <c r="B131" s="231" t="s">
        <v>347</v>
      </c>
      <c r="C131" s="197"/>
      <c r="D131" s="197"/>
      <c r="E131" s="197"/>
      <c r="F131" s="197"/>
      <c r="G131" s="197"/>
      <c r="H131" s="200"/>
      <c r="I131" s="159" t="s">
        <v>286</v>
      </c>
      <c r="J131" s="137" t="s">
        <v>286</v>
      </c>
    </row>
    <row r="132" spans="1:10" ht="12.75" customHeight="1" x14ac:dyDescent="0.2">
      <c r="A132" s="121"/>
      <c r="B132" s="231" t="s">
        <v>348</v>
      </c>
      <c r="C132" s="197"/>
      <c r="D132" s="197"/>
      <c r="E132" s="197"/>
      <c r="F132" s="197"/>
      <c r="G132" s="197"/>
      <c r="H132" s="200"/>
      <c r="I132" s="159" t="s">
        <v>286</v>
      </c>
      <c r="J132" s="137" t="s">
        <v>286</v>
      </c>
    </row>
    <row r="133" spans="1:10" ht="12.75" customHeight="1" x14ac:dyDescent="0.2">
      <c r="A133" s="121"/>
      <c r="B133" s="231" t="s">
        <v>445</v>
      </c>
      <c r="C133" s="197"/>
      <c r="D133" s="197"/>
      <c r="E133" s="197"/>
      <c r="F133" s="197"/>
      <c r="G133" s="197"/>
      <c r="H133" s="200"/>
      <c r="I133" s="116">
        <v>2.5000000000000001E-2</v>
      </c>
      <c r="J133" s="130">
        <f>ROUND(($J$124/(1-$I$136))*I133,2)</f>
        <v>185.64</v>
      </c>
    </row>
    <row r="134" spans="1:10" ht="12.75" customHeight="1" x14ac:dyDescent="0.2">
      <c r="A134" s="232" t="s">
        <v>261</v>
      </c>
      <c r="B134" s="197"/>
      <c r="C134" s="197"/>
      <c r="D134" s="197"/>
      <c r="E134" s="197"/>
      <c r="F134" s="197"/>
      <c r="G134" s="197"/>
      <c r="H134" s="197"/>
      <c r="I134" s="200"/>
      <c r="J134" s="127">
        <f>SUM(J121+J123+J127+J128+J133)</f>
        <v>1467.9099999999999</v>
      </c>
    </row>
    <row r="135" spans="1:10" ht="12.75" customHeight="1" x14ac:dyDescent="0.2">
      <c r="A135" s="225"/>
      <c r="B135" s="197"/>
      <c r="C135" s="197"/>
      <c r="D135" s="197"/>
      <c r="E135" s="197"/>
      <c r="F135" s="197"/>
      <c r="G135" s="197"/>
      <c r="H135" s="197"/>
      <c r="I135" s="197"/>
      <c r="J135" s="200"/>
    </row>
    <row r="136" spans="1:10" ht="14.25" customHeight="1" x14ac:dyDescent="0.2">
      <c r="A136" s="259" t="s">
        <v>350</v>
      </c>
      <c r="B136" s="197"/>
      <c r="C136" s="197"/>
      <c r="D136" s="197"/>
      <c r="E136" s="197"/>
      <c r="F136" s="197"/>
      <c r="G136" s="197"/>
      <c r="H136" s="200"/>
      <c r="I136" s="160">
        <f t="shared" ref="I136:J136" si="4">SUM(I127:I133)</f>
        <v>0.11749999999999999</v>
      </c>
      <c r="J136" s="156">
        <f t="shared" si="4"/>
        <v>872.51</v>
      </c>
    </row>
    <row r="137" spans="1:10" ht="12.75" customHeight="1" x14ac:dyDescent="0.2">
      <c r="A137" s="260" t="s">
        <v>351</v>
      </c>
      <c r="B137" s="203"/>
      <c r="C137" s="261"/>
      <c r="D137" s="258" t="s">
        <v>352</v>
      </c>
      <c r="E137" s="197"/>
      <c r="F137" s="197"/>
      <c r="G137" s="197"/>
      <c r="H137" s="197"/>
      <c r="I137" s="197"/>
      <c r="J137" s="200"/>
    </row>
    <row r="138" spans="1:10" ht="12.75" customHeight="1" x14ac:dyDescent="0.2">
      <c r="A138" s="262"/>
      <c r="B138" s="178"/>
      <c r="C138" s="216"/>
      <c r="D138" s="258" t="s">
        <v>353</v>
      </c>
      <c r="E138" s="197"/>
      <c r="F138" s="197"/>
      <c r="G138" s="197"/>
      <c r="H138" s="197"/>
      <c r="I138" s="197"/>
      <c r="J138" s="200"/>
    </row>
    <row r="139" spans="1:10" ht="12.75" customHeight="1" x14ac:dyDescent="0.2">
      <c r="A139" s="263"/>
      <c r="B139" s="209"/>
      <c r="C139" s="210"/>
      <c r="D139" s="258" t="s">
        <v>354</v>
      </c>
      <c r="E139" s="197"/>
      <c r="F139" s="197"/>
      <c r="G139" s="197"/>
      <c r="H139" s="197"/>
      <c r="I139" s="197"/>
      <c r="J139" s="200"/>
    </row>
    <row r="140" spans="1:10" ht="12.75" customHeight="1" x14ac:dyDescent="0.2">
      <c r="A140" s="225"/>
      <c r="B140" s="197"/>
      <c r="C140" s="197"/>
      <c r="D140" s="197"/>
      <c r="E140" s="197"/>
      <c r="F140" s="197"/>
      <c r="G140" s="197"/>
      <c r="H140" s="197"/>
      <c r="I140" s="197"/>
      <c r="J140" s="200"/>
    </row>
    <row r="141" spans="1:10" ht="45.75" customHeight="1" x14ac:dyDescent="0.2">
      <c r="A141" s="264" t="s">
        <v>355</v>
      </c>
      <c r="B141" s="197"/>
      <c r="C141" s="197"/>
      <c r="D141" s="197"/>
      <c r="E141" s="197"/>
      <c r="F141" s="197"/>
      <c r="G141" s="197"/>
      <c r="H141" s="197"/>
      <c r="I141" s="197"/>
      <c r="J141" s="200"/>
    </row>
    <row r="142" spans="1:10" ht="14.25" customHeight="1" x14ac:dyDescent="0.2">
      <c r="A142" s="265" t="s">
        <v>356</v>
      </c>
      <c r="B142" s="197"/>
      <c r="C142" s="197"/>
      <c r="D142" s="197"/>
      <c r="E142" s="197"/>
      <c r="F142" s="197"/>
      <c r="G142" s="197"/>
      <c r="H142" s="197"/>
      <c r="I142" s="200"/>
      <c r="J142" s="161" t="s">
        <v>258</v>
      </c>
    </row>
    <row r="143" spans="1:10" ht="14.25" customHeight="1" x14ac:dyDescent="0.2">
      <c r="A143" s="162" t="s">
        <v>185</v>
      </c>
      <c r="B143" s="253" t="s">
        <v>357</v>
      </c>
      <c r="C143" s="197"/>
      <c r="D143" s="197"/>
      <c r="E143" s="197"/>
      <c r="F143" s="197"/>
      <c r="G143" s="197"/>
      <c r="H143" s="197"/>
      <c r="I143" s="200"/>
      <c r="J143" s="152">
        <f>J30</f>
        <v>2310.7599999999998</v>
      </c>
    </row>
    <row r="144" spans="1:10" ht="14.25" customHeight="1" x14ac:dyDescent="0.2">
      <c r="A144" s="162" t="s">
        <v>187</v>
      </c>
      <c r="B144" s="253" t="s">
        <v>254</v>
      </c>
      <c r="C144" s="197"/>
      <c r="D144" s="197"/>
      <c r="E144" s="197"/>
      <c r="F144" s="197"/>
      <c r="G144" s="197"/>
      <c r="H144" s="197"/>
      <c r="I144" s="200"/>
      <c r="J144" s="152">
        <f>J73</f>
        <v>1545.28</v>
      </c>
    </row>
    <row r="145" spans="1:10" ht="14.25" customHeight="1" x14ac:dyDescent="0.2">
      <c r="A145" s="162" t="s">
        <v>190</v>
      </c>
      <c r="B145" s="253" t="s">
        <v>358</v>
      </c>
      <c r="C145" s="197"/>
      <c r="D145" s="197"/>
      <c r="E145" s="197"/>
      <c r="F145" s="197"/>
      <c r="G145" s="197"/>
      <c r="H145" s="197"/>
      <c r="I145" s="200"/>
      <c r="J145" s="152">
        <f>J82</f>
        <v>117.26</v>
      </c>
    </row>
    <row r="146" spans="1:10" ht="14.25" customHeight="1" x14ac:dyDescent="0.2">
      <c r="A146" s="162" t="s">
        <v>192</v>
      </c>
      <c r="B146" s="253" t="s">
        <v>359</v>
      </c>
      <c r="C146" s="197"/>
      <c r="D146" s="197"/>
      <c r="E146" s="197"/>
      <c r="F146" s="197"/>
      <c r="G146" s="197"/>
      <c r="H146" s="197"/>
      <c r="I146" s="200"/>
      <c r="J146" s="152">
        <f>J108</f>
        <v>368.02</v>
      </c>
    </row>
    <row r="147" spans="1:10" ht="14.25" customHeight="1" x14ac:dyDescent="0.2">
      <c r="A147" s="162" t="s">
        <v>250</v>
      </c>
      <c r="B147" s="253" t="s">
        <v>360</v>
      </c>
      <c r="C147" s="197"/>
      <c r="D147" s="197"/>
      <c r="E147" s="197"/>
      <c r="F147" s="197"/>
      <c r="G147" s="197"/>
      <c r="H147" s="197"/>
      <c r="I147" s="200"/>
      <c r="J147" s="152">
        <f>J116</f>
        <v>1616.4162499999998</v>
      </c>
    </row>
    <row r="148" spans="1:10" ht="14.25" customHeight="1" x14ac:dyDescent="0.2">
      <c r="A148" s="254" t="s">
        <v>361</v>
      </c>
      <c r="B148" s="197"/>
      <c r="C148" s="197"/>
      <c r="D148" s="197"/>
      <c r="E148" s="197"/>
      <c r="F148" s="197"/>
      <c r="G148" s="197"/>
      <c r="H148" s="197"/>
      <c r="I148" s="200"/>
      <c r="J148" s="153">
        <f>SUM(J143:J147)</f>
        <v>5957.7362499999999</v>
      </c>
    </row>
    <row r="149" spans="1:10" ht="14.25" customHeight="1" x14ac:dyDescent="0.2">
      <c r="A149" s="162" t="s">
        <v>275</v>
      </c>
      <c r="B149" s="253" t="s">
        <v>362</v>
      </c>
      <c r="C149" s="197"/>
      <c r="D149" s="197"/>
      <c r="E149" s="197"/>
      <c r="F149" s="197"/>
      <c r="G149" s="197"/>
      <c r="H149" s="197"/>
      <c r="I149" s="200"/>
      <c r="J149" s="152">
        <f>J134</f>
        <v>1467.9099999999999</v>
      </c>
    </row>
    <row r="150" spans="1:10" ht="14.25" customHeight="1" x14ac:dyDescent="0.2">
      <c r="A150" s="254" t="s">
        <v>363</v>
      </c>
      <c r="B150" s="197"/>
      <c r="C150" s="197"/>
      <c r="D150" s="197"/>
      <c r="E150" s="197"/>
      <c r="F150" s="197"/>
      <c r="G150" s="197"/>
      <c r="H150" s="197"/>
      <c r="I150" s="200"/>
      <c r="J150" s="153">
        <f>SUM(J148:J149)</f>
        <v>7425.6462499999998</v>
      </c>
    </row>
    <row r="151" spans="1:10" ht="12.75" customHeight="1" x14ac:dyDescent="0.2">
      <c r="A151" s="225"/>
      <c r="B151" s="197"/>
      <c r="C151" s="197"/>
      <c r="D151" s="197"/>
      <c r="E151" s="197"/>
      <c r="F151" s="197"/>
      <c r="G151" s="197"/>
      <c r="H151" s="197"/>
      <c r="I151" s="197"/>
      <c r="J151" s="200"/>
    </row>
    <row r="152" spans="1:10" ht="12.75" customHeight="1" x14ac:dyDescent="0.2">
      <c r="A152" s="255" t="s">
        <v>364</v>
      </c>
      <c r="B152" s="203"/>
      <c r="C152" s="203"/>
      <c r="D152" s="203"/>
      <c r="E152" s="203"/>
      <c r="F152" s="203"/>
      <c r="G152" s="203"/>
      <c r="H152" s="203"/>
      <c r="I152" s="203"/>
      <c r="J152" s="203"/>
    </row>
    <row r="153" spans="1:10" ht="12.75" customHeight="1" x14ac:dyDescent="0.2">
      <c r="A153" s="249" t="s">
        <v>365</v>
      </c>
      <c r="B153" s="197"/>
      <c r="C153" s="197"/>
      <c r="D153" s="197"/>
      <c r="E153" s="197"/>
      <c r="F153" s="197"/>
      <c r="G153" s="200"/>
      <c r="H153" s="249" t="s">
        <v>366</v>
      </c>
      <c r="I153" s="197"/>
      <c r="J153" s="200"/>
    </row>
    <row r="154" spans="1:10" ht="12.75" customHeight="1" x14ac:dyDescent="0.2">
      <c r="A154" s="250" t="s">
        <v>402</v>
      </c>
      <c r="B154" s="203"/>
      <c r="C154" s="203"/>
      <c r="D154" s="203"/>
      <c r="E154" s="203"/>
      <c r="F154" s="203"/>
      <c r="G154" s="203"/>
      <c r="H154" s="251">
        <v>1</v>
      </c>
      <c r="I154" s="203"/>
      <c r="J154" s="203"/>
    </row>
    <row r="155" spans="1:10" ht="12.75" customHeight="1" x14ac:dyDescent="0.2">
      <c r="A155" s="252"/>
      <c r="B155" s="197"/>
      <c r="C155" s="197"/>
      <c r="D155" s="197"/>
      <c r="E155" s="197"/>
      <c r="F155" s="197"/>
      <c r="G155" s="197"/>
      <c r="H155" s="197"/>
      <c r="I155" s="197"/>
      <c r="J155" s="200"/>
    </row>
    <row r="156" spans="1:10" ht="12.75" customHeight="1" x14ac:dyDescent="0.2"/>
    <row r="157" spans="1:10" ht="12.75" customHeight="1" x14ac:dyDescent="0.2"/>
    <row r="158" spans="1:10" ht="12.75" customHeight="1" x14ac:dyDescent="0.2"/>
    <row r="159" spans="1:10" ht="12.75" customHeight="1" x14ac:dyDescent="0.2"/>
    <row r="160" spans="1:1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70">
    <mergeCell ref="B145:I145"/>
    <mergeCell ref="B146:I146"/>
    <mergeCell ref="B147:I147"/>
    <mergeCell ref="A148:I148"/>
    <mergeCell ref="A137:C139"/>
    <mergeCell ref="D137:J137"/>
    <mergeCell ref="D138:J138"/>
    <mergeCell ref="D139:J139"/>
    <mergeCell ref="A140:J140"/>
    <mergeCell ref="A141:J141"/>
    <mergeCell ref="A142:I142"/>
    <mergeCell ref="B143:I143"/>
    <mergeCell ref="B144:I144"/>
    <mergeCell ref="B128:H128"/>
    <mergeCell ref="B129:H129"/>
    <mergeCell ref="B130:H130"/>
    <mergeCell ref="B131:H131"/>
    <mergeCell ref="B132:H132"/>
    <mergeCell ref="B133:H133"/>
    <mergeCell ref="A134:I134"/>
    <mergeCell ref="A135:J135"/>
    <mergeCell ref="A136:H136"/>
    <mergeCell ref="B119:H119"/>
    <mergeCell ref="A120:H120"/>
    <mergeCell ref="B121:H121"/>
    <mergeCell ref="A122:H122"/>
    <mergeCell ref="B123:H123"/>
    <mergeCell ref="A124:H124"/>
    <mergeCell ref="B125:H125"/>
    <mergeCell ref="B126:H126"/>
    <mergeCell ref="B127:H127"/>
    <mergeCell ref="A110:J110"/>
    <mergeCell ref="B111:I111"/>
    <mergeCell ref="B112:I112"/>
    <mergeCell ref="B113:I113"/>
    <mergeCell ref="B114:I114"/>
    <mergeCell ref="B115:I115"/>
    <mergeCell ref="A116:I116"/>
    <mergeCell ref="A117:J117"/>
    <mergeCell ref="A118:J118"/>
    <mergeCell ref="B95:I95"/>
    <mergeCell ref="A96:I96"/>
    <mergeCell ref="A97:J97"/>
    <mergeCell ref="B98:I98"/>
    <mergeCell ref="B99:I99"/>
    <mergeCell ref="A100:I100"/>
    <mergeCell ref="A154:G154"/>
    <mergeCell ref="A155:J155"/>
    <mergeCell ref="B149:I149"/>
    <mergeCell ref="A150:I150"/>
    <mergeCell ref="A151:J151"/>
    <mergeCell ref="A152:J152"/>
    <mergeCell ref="A153:G153"/>
    <mergeCell ref="H153:J153"/>
    <mergeCell ref="H154:J154"/>
    <mergeCell ref="B101:I101"/>
    <mergeCell ref="A102:I102"/>
    <mergeCell ref="A103:J103"/>
    <mergeCell ref="A104:J104"/>
    <mergeCell ref="B105:I105"/>
    <mergeCell ref="B106:I106"/>
    <mergeCell ref="B107:I107"/>
    <mergeCell ref="A108:I108"/>
    <mergeCell ref="A109:J109"/>
    <mergeCell ref="A86:J86"/>
    <mergeCell ref="B87:I87"/>
    <mergeCell ref="B88:H88"/>
    <mergeCell ref="B89:I89"/>
    <mergeCell ref="B90:I90"/>
    <mergeCell ref="B91:I91"/>
    <mergeCell ref="B92:I92"/>
    <mergeCell ref="B93:I93"/>
    <mergeCell ref="A94:I94"/>
    <mergeCell ref="B77:I77"/>
    <mergeCell ref="B78:I78"/>
    <mergeCell ref="B79:I79"/>
    <mergeCell ref="B80:I80"/>
    <mergeCell ref="B81:H81"/>
    <mergeCell ref="A82:I82"/>
    <mergeCell ref="A83:J83"/>
    <mergeCell ref="A84:J84"/>
    <mergeCell ref="A85:I85"/>
    <mergeCell ref="A68:J68"/>
    <mergeCell ref="B69:I69"/>
    <mergeCell ref="C70:I70"/>
    <mergeCell ref="C71:I71"/>
    <mergeCell ref="C72:I72"/>
    <mergeCell ref="A73:I73"/>
    <mergeCell ref="A74:J74"/>
    <mergeCell ref="A75:J75"/>
    <mergeCell ref="B76:I76"/>
    <mergeCell ref="B59:H59"/>
    <mergeCell ref="B60:I60"/>
    <mergeCell ref="B61:H61"/>
    <mergeCell ref="B62:H62"/>
    <mergeCell ref="B63:H63"/>
    <mergeCell ref="B64:I64"/>
    <mergeCell ref="B65:I65"/>
    <mergeCell ref="A66:I66"/>
    <mergeCell ref="A67:J67"/>
    <mergeCell ref="B50:H50"/>
    <mergeCell ref="A51:H51"/>
    <mergeCell ref="A52:J52"/>
    <mergeCell ref="A53:J53"/>
    <mergeCell ref="B54:I54"/>
    <mergeCell ref="B55:I55"/>
    <mergeCell ref="B56:H56"/>
    <mergeCell ref="B57:H57"/>
    <mergeCell ref="B58:H58"/>
    <mergeCell ref="B27:I27"/>
    <mergeCell ref="B28:I28"/>
    <mergeCell ref="B29:H29"/>
    <mergeCell ref="A30:I30"/>
    <mergeCell ref="B45:D45"/>
    <mergeCell ref="B46:H46"/>
    <mergeCell ref="B47:H47"/>
    <mergeCell ref="B48:H48"/>
    <mergeCell ref="B49:H49"/>
    <mergeCell ref="B20:G20"/>
    <mergeCell ref="H20:J20"/>
    <mergeCell ref="A21:J21"/>
    <mergeCell ref="A22:J22"/>
    <mergeCell ref="B23:G23"/>
    <mergeCell ref="H23:I23"/>
    <mergeCell ref="B24:I24"/>
    <mergeCell ref="B25:H25"/>
    <mergeCell ref="B26:I26"/>
    <mergeCell ref="A14:J14"/>
    <mergeCell ref="A15:J15"/>
    <mergeCell ref="B16:G16"/>
    <mergeCell ref="H16:J16"/>
    <mergeCell ref="B17:G17"/>
    <mergeCell ref="H17:J17"/>
    <mergeCell ref="B18:G18"/>
    <mergeCell ref="H18:J18"/>
    <mergeCell ref="H19:J19"/>
    <mergeCell ref="B19:G19"/>
    <mergeCell ref="A40:J40"/>
    <mergeCell ref="A41:J41"/>
    <mergeCell ref="B42:H42"/>
    <mergeCell ref="B43:H43"/>
    <mergeCell ref="B44:H44"/>
    <mergeCell ref="A1:J1"/>
    <mergeCell ref="A2:J2"/>
    <mergeCell ref="A3:J3"/>
    <mergeCell ref="A4:G4"/>
    <mergeCell ref="H4:J4"/>
    <mergeCell ref="A5:G5"/>
    <mergeCell ref="H5:J5"/>
    <mergeCell ref="A6:J6"/>
    <mergeCell ref="A7:J7"/>
    <mergeCell ref="B8:G8"/>
    <mergeCell ref="H8:J8"/>
    <mergeCell ref="B9:G9"/>
    <mergeCell ref="H9:J9"/>
    <mergeCell ref="H10:J10"/>
    <mergeCell ref="B10:G10"/>
    <mergeCell ref="B11:G11"/>
    <mergeCell ref="H11:J11"/>
    <mergeCell ref="A12:J12"/>
    <mergeCell ref="A13:J13"/>
    <mergeCell ref="A31:J31"/>
    <mergeCell ref="A32:J32"/>
    <mergeCell ref="A33:J33"/>
    <mergeCell ref="B34:I34"/>
    <mergeCell ref="B35:H35"/>
    <mergeCell ref="B36:H36"/>
    <mergeCell ref="A37:I37"/>
    <mergeCell ref="B38:I38"/>
    <mergeCell ref="A39:I39"/>
  </mergeCells>
  <pageMargins left="0.7" right="0.7" top="0.75" bottom="0.75" header="0" footer="0"/>
  <pageSetup orientation="portrait"/>
  <headerFooter>
    <oddHeader>&amp;C&amp;A</oddHeader>
    <oddFooter>&amp;CPágina &amp;P</oddFooter>
  </headerFooter>
  <colBreaks count="2" manualBreakCount="2">
    <brk man="1"/>
    <brk id="10"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C00"/>
  </sheetPr>
  <dimension ref="A1:J1000"/>
  <sheetViews>
    <sheetView workbookViewId="0">
      <selection sqref="A1:J1"/>
    </sheetView>
  </sheetViews>
  <sheetFormatPr defaultColWidth="12.5703125" defaultRowHeight="15" customHeight="1" x14ac:dyDescent="0.2"/>
  <cols>
    <col min="1" max="10" width="11.5703125" customWidth="1"/>
    <col min="11" max="25" width="8" customWidth="1"/>
  </cols>
  <sheetData>
    <row r="1" spans="1:10" ht="23.25" customHeight="1" x14ac:dyDescent="0.2">
      <c r="A1" s="234" t="s">
        <v>223</v>
      </c>
      <c r="B1" s="197"/>
      <c r="C1" s="197"/>
      <c r="D1" s="197"/>
      <c r="E1" s="197"/>
      <c r="F1" s="197"/>
      <c r="G1" s="197"/>
      <c r="H1" s="197"/>
      <c r="I1" s="197"/>
      <c r="J1" s="200"/>
    </row>
    <row r="2" spans="1:10" ht="24" customHeight="1" x14ac:dyDescent="0.2">
      <c r="A2" s="235" t="s">
        <v>224</v>
      </c>
      <c r="B2" s="197"/>
      <c r="C2" s="197"/>
      <c r="D2" s="197"/>
      <c r="E2" s="197"/>
      <c r="F2" s="197"/>
      <c r="G2" s="197"/>
      <c r="H2" s="197"/>
      <c r="I2" s="197"/>
      <c r="J2" s="200"/>
    </row>
    <row r="3" spans="1:10" ht="46.5" customHeight="1" x14ac:dyDescent="0.2">
      <c r="A3" s="236" t="s">
        <v>225</v>
      </c>
      <c r="B3" s="197"/>
      <c r="C3" s="197"/>
      <c r="D3" s="197"/>
      <c r="E3" s="197"/>
      <c r="F3" s="197"/>
      <c r="G3" s="197"/>
      <c r="H3" s="197"/>
      <c r="I3" s="197"/>
      <c r="J3" s="200"/>
    </row>
    <row r="4" spans="1:10" ht="14.25" customHeight="1" x14ac:dyDescent="0.2">
      <c r="A4" s="213" t="s">
        <v>180</v>
      </c>
      <c r="B4" s="197"/>
      <c r="C4" s="197"/>
      <c r="D4" s="197"/>
      <c r="E4" s="197"/>
      <c r="F4" s="197"/>
      <c r="G4" s="200"/>
      <c r="H4" s="201" t="s">
        <v>226</v>
      </c>
      <c r="I4" s="197"/>
      <c r="J4" s="200"/>
    </row>
    <row r="5" spans="1:10" ht="14.25" customHeight="1" x14ac:dyDescent="0.2">
      <c r="A5" s="213" t="s">
        <v>182</v>
      </c>
      <c r="B5" s="197"/>
      <c r="C5" s="197"/>
      <c r="D5" s="197"/>
      <c r="E5" s="197"/>
      <c r="F5" s="197"/>
      <c r="G5" s="200"/>
      <c r="H5" s="201"/>
      <c r="I5" s="197"/>
      <c r="J5" s="200"/>
    </row>
    <row r="6" spans="1:10" ht="14.25" customHeight="1" x14ac:dyDescent="0.2">
      <c r="A6" s="213" t="s">
        <v>183</v>
      </c>
      <c r="B6" s="197"/>
      <c r="C6" s="197"/>
      <c r="D6" s="197"/>
      <c r="E6" s="197"/>
      <c r="F6" s="197"/>
      <c r="G6" s="197"/>
      <c r="H6" s="197"/>
      <c r="I6" s="197"/>
      <c r="J6" s="200"/>
    </row>
    <row r="7" spans="1:10" ht="15.75" customHeight="1" x14ac:dyDescent="0.2">
      <c r="A7" s="237" t="s">
        <v>184</v>
      </c>
      <c r="B7" s="197"/>
      <c r="C7" s="197"/>
      <c r="D7" s="197"/>
      <c r="E7" s="197"/>
      <c r="F7" s="197"/>
      <c r="G7" s="197"/>
      <c r="H7" s="197"/>
      <c r="I7" s="197"/>
      <c r="J7" s="200"/>
    </row>
    <row r="8" spans="1:10" ht="14.25" customHeight="1" x14ac:dyDescent="0.2">
      <c r="A8" s="87" t="s">
        <v>185</v>
      </c>
      <c r="B8" s="213" t="s">
        <v>186</v>
      </c>
      <c r="C8" s="197"/>
      <c r="D8" s="197"/>
      <c r="E8" s="197"/>
      <c r="F8" s="197"/>
      <c r="G8" s="200"/>
      <c r="H8" s="214"/>
      <c r="I8" s="197"/>
      <c r="J8" s="200"/>
    </row>
    <row r="9" spans="1:10" ht="14.25" customHeight="1" x14ac:dyDescent="0.2">
      <c r="A9" s="87" t="s">
        <v>187</v>
      </c>
      <c r="B9" s="213" t="s">
        <v>227</v>
      </c>
      <c r="C9" s="197"/>
      <c r="D9" s="197"/>
      <c r="E9" s="197"/>
      <c r="F9" s="197"/>
      <c r="G9" s="200"/>
      <c r="H9" s="201" t="s">
        <v>228</v>
      </c>
      <c r="I9" s="197"/>
      <c r="J9" s="200"/>
    </row>
    <row r="10" spans="1:10" ht="39" customHeight="1" x14ac:dyDescent="0.2">
      <c r="A10" s="87" t="s">
        <v>190</v>
      </c>
      <c r="B10" s="213" t="s">
        <v>229</v>
      </c>
      <c r="C10" s="197"/>
      <c r="D10" s="197"/>
      <c r="E10" s="197"/>
      <c r="F10" s="197"/>
      <c r="G10" s="200"/>
      <c r="H10" s="238" t="s">
        <v>230</v>
      </c>
      <c r="I10" s="197"/>
      <c r="J10" s="200"/>
    </row>
    <row r="11" spans="1:10" ht="30.75" customHeight="1" x14ac:dyDescent="0.2">
      <c r="A11" s="87" t="s">
        <v>192</v>
      </c>
      <c r="B11" s="213" t="s">
        <v>231</v>
      </c>
      <c r="C11" s="197"/>
      <c r="D11" s="197"/>
      <c r="E11" s="197"/>
      <c r="F11" s="197"/>
      <c r="G11" s="200"/>
      <c r="H11" s="201">
        <v>60</v>
      </c>
      <c r="I11" s="197"/>
      <c r="J11" s="200"/>
    </row>
    <row r="12" spans="1:10" ht="12.75" customHeight="1" x14ac:dyDescent="0.2">
      <c r="A12" s="225"/>
      <c r="B12" s="197"/>
      <c r="C12" s="197"/>
      <c r="D12" s="197"/>
      <c r="E12" s="197"/>
      <c r="F12" s="197"/>
      <c r="G12" s="197"/>
      <c r="H12" s="197"/>
      <c r="I12" s="197"/>
      <c r="J12" s="200"/>
    </row>
    <row r="13" spans="1:10" ht="48.75" customHeight="1" x14ac:dyDescent="0.2">
      <c r="A13" s="239" t="s">
        <v>232</v>
      </c>
      <c r="B13" s="197"/>
      <c r="C13" s="197"/>
      <c r="D13" s="197"/>
      <c r="E13" s="197"/>
      <c r="F13" s="197"/>
      <c r="G13" s="197"/>
      <c r="H13" s="197"/>
      <c r="I13" s="197"/>
      <c r="J13" s="200"/>
    </row>
    <row r="14" spans="1:10" ht="12.75" customHeight="1" x14ac:dyDescent="0.2">
      <c r="A14" s="225"/>
      <c r="B14" s="197"/>
      <c r="C14" s="197"/>
      <c r="D14" s="197"/>
      <c r="E14" s="197"/>
      <c r="F14" s="197"/>
      <c r="G14" s="197"/>
      <c r="H14" s="197"/>
      <c r="I14" s="197"/>
      <c r="J14" s="200"/>
    </row>
    <row r="15" spans="1:10" ht="15.75" customHeight="1" x14ac:dyDescent="0.2">
      <c r="A15" s="240" t="s">
        <v>233</v>
      </c>
      <c r="B15" s="197"/>
      <c r="C15" s="197"/>
      <c r="D15" s="197"/>
      <c r="E15" s="197"/>
      <c r="F15" s="197"/>
      <c r="G15" s="197"/>
      <c r="H15" s="197"/>
      <c r="I15" s="197"/>
      <c r="J15" s="200"/>
    </row>
    <row r="16" spans="1:10" ht="15.75" customHeight="1" x14ac:dyDescent="0.2">
      <c r="A16" s="87">
        <v>1</v>
      </c>
      <c r="B16" s="213" t="s">
        <v>234</v>
      </c>
      <c r="C16" s="197"/>
      <c r="D16" s="197"/>
      <c r="E16" s="197"/>
      <c r="F16" s="197"/>
      <c r="G16" s="200"/>
      <c r="H16" s="241" t="s">
        <v>235</v>
      </c>
      <c r="I16" s="197"/>
      <c r="J16" s="200"/>
    </row>
    <row r="17" spans="1:10" ht="15.75" customHeight="1" x14ac:dyDescent="0.2">
      <c r="A17" s="87">
        <v>2</v>
      </c>
      <c r="B17" s="213" t="s">
        <v>236</v>
      </c>
      <c r="C17" s="197"/>
      <c r="D17" s="197"/>
      <c r="E17" s="197"/>
      <c r="F17" s="197"/>
      <c r="G17" s="200"/>
      <c r="H17" s="241" t="s">
        <v>237</v>
      </c>
      <c r="I17" s="197"/>
      <c r="J17" s="200"/>
    </row>
    <row r="18" spans="1:10" ht="15.75" customHeight="1" x14ac:dyDescent="0.2">
      <c r="A18" s="87">
        <v>3</v>
      </c>
      <c r="B18" s="213" t="s">
        <v>238</v>
      </c>
      <c r="C18" s="197"/>
      <c r="D18" s="197"/>
      <c r="E18" s="197"/>
      <c r="F18" s="197"/>
      <c r="G18" s="200"/>
      <c r="H18" s="242">
        <v>2410.12</v>
      </c>
      <c r="I18" s="197"/>
      <c r="J18" s="200"/>
    </row>
    <row r="19" spans="1:10" ht="15.75" customHeight="1" x14ac:dyDescent="0.2">
      <c r="A19" s="87">
        <v>4</v>
      </c>
      <c r="B19" s="213" t="s">
        <v>239</v>
      </c>
      <c r="C19" s="197"/>
      <c r="D19" s="197"/>
      <c r="E19" s="197"/>
      <c r="F19" s="197"/>
      <c r="G19" s="200"/>
      <c r="H19" s="241" t="s">
        <v>156</v>
      </c>
      <c r="I19" s="197"/>
      <c r="J19" s="200"/>
    </row>
    <row r="20" spans="1:10" ht="15.75" customHeight="1" x14ac:dyDescent="0.2">
      <c r="A20" s="87">
        <v>5</v>
      </c>
      <c r="B20" s="213" t="s">
        <v>240</v>
      </c>
      <c r="C20" s="197"/>
      <c r="D20" s="197"/>
      <c r="E20" s="197"/>
      <c r="F20" s="197"/>
      <c r="G20" s="200"/>
      <c r="H20" s="241" t="s">
        <v>241</v>
      </c>
      <c r="I20" s="197"/>
      <c r="J20" s="200"/>
    </row>
    <row r="21" spans="1:10" ht="12.75" customHeight="1" x14ac:dyDescent="0.2">
      <c r="A21" s="225"/>
      <c r="B21" s="197"/>
      <c r="C21" s="197"/>
      <c r="D21" s="197"/>
      <c r="E21" s="197"/>
      <c r="F21" s="197"/>
      <c r="G21" s="197"/>
      <c r="H21" s="197"/>
      <c r="I21" s="197"/>
      <c r="J21" s="200"/>
    </row>
    <row r="22" spans="1:10" ht="20.25" customHeight="1" x14ac:dyDescent="0.2">
      <c r="A22" s="239" t="s">
        <v>242</v>
      </c>
      <c r="B22" s="197"/>
      <c r="C22" s="197"/>
      <c r="D22" s="197"/>
      <c r="E22" s="197"/>
      <c r="F22" s="197"/>
      <c r="G22" s="197"/>
      <c r="H22" s="197"/>
      <c r="I22" s="197"/>
      <c r="J22" s="200"/>
    </row>
    <row r="23" spans="1:10" ht="30" customHeight="1" x14ac:dyDescent="0.2">
      <c r="A23" s="113">
        <v>1</v>
      </c>
      <c r="B23" s="240" t="s">
        <v>243</v>
      </c>
      <c r="C23" s="197"/>
      <c r="D23" s="197"/>
      <c r="E23" s="197"/>
      <c r="F23" s="197"/>
      <c r="G23" s="200"/>
      <c r="H23" s="240" t="s">
        <v>244</v>
      </c>
      <c r="I23" s="200"/>
      <c r="J23" s="113" t="s">
        <v>245</v>
      </c>
    </row>
    <row r="24" spans="1:10" ht="12.75" x14ac:dyDescent="0.2">
      <c r="A24" s="87" t="s">
        <v>185</v>
      </c>
      <c r="B24" s="213" t="s">
        <v>246</v>
      </c>
      <c r="C24" s="197"/>
      <c r="D24" s="197"/>
      <c r="E24" s="197"/>
      <c r="F24" s="197"/>
      <c r="G24" s="197"/>
      <c r="H24" s="197"/>
      <c r="I24" s="200"/>
      <c r="J24" s="114">
        <f>ROUND(((25/6)*30)*(H18/220),2)</f>
        <v>1369.39</v>
      </c>
    </row>
    <row r="25" spans="1:10" ht="12.75" customHeight="1" x14ac:dyDescent="0.2">
      <c r="A25" s="115" t="s">
        <v>187</v>
      </c>
      <c r="B25" s="213" t="s">
        <v>247</v>
      </c>
      <c r="C25" s="197"/>
      <c r="D25" s="197"/>
      <c r="E25" s="197"/>
      <c r="F25" s="197"/>
      <c r="G25" s="197"/>
      <c r="H25" s="200"/>
      <c r="I25" s="116">
        <v>0.3</v>
      </c>
      <c r="J25" s="114">
        <f>ROUND(I25*J24,2)</f>
        <v>410.82</v>
      </c>
    </row>
    <row r="26" spans="1:10" ht="12.75" customHeight="1" x14ac:dyDescent="0.2">
      <c r="A26" s="115" t="s">
        <v>190</v>
      </c>
      <c r="B26" s="213" t="s">
        <v>248</v>
      </c>
      <c r="C26" s="197"/>
      <c r="D26" s="197"/>
      <c r="E26" s="197"/>
      <c r="F26" s="197"/>
      <c r="G26" s="197"/>
      <c r="H26" s="197"/>
      <c r="I26" s="200"/>
      <c r="J26" s="114"/>
    </row>
    <row r="27" spans="1:10" ht="12.75" customHeight="1" x14ac:dyDescent="0.2">
      <c r="A27" s="115" t="s">
        <v>192</v>
      </c>
      <c r="B27" s="213" t="s">
        <v>249</v>
      </c>
      <c r="C27" s="197"/>
      <c r="D27" s="197"/>
      <c r="E27" s="197"/>
      <c r="F27" s="197"/>
      <c r="G27" s="197"/>
      <c r="H27" s="197"/>
      <c r="I27" s="200"/>
      <c r="J27" s="114"/>
    </row>
    <row r="28" spans="1:10" ht="12.75" customHeight="1" x14ac:dyDescent="0.2">
      <c r="A28" s="115" t="s">
        <v>250</v>
      </c>
      <c r="B28" s="213" t="s">
        <v>251</v>
      </c>
      <c r="C28" s="197"/>
      <c r="D28" s="197"/>
      <c r="E28" s="197"/>
      <c r="F28" s="197"/>
      <c r="G28" s="197"/>
      <c r="H28" s="197"/>
      <c r="I28" s="200"/>
      <c r="J28" s="114"/>
    </row>
    <row r="29" spans="1:10" ht="12.75" customHeight="1" x14ac:dyDescent="0.2">
      <c r="A29" s="87" t="s">
        <v>187</v>
      </c>
      <c r="B29" s="213" t="s">
        <v>252</v>
      </c>
      <c r="C29" s="197"/>
      <c r="D29" s="197"/>
      <c r="E29" s="197"/>
      <c r="F29" s="197"/>
      <c r="G29" s="197"/>
      <c r="H29" s="200"/>
      <c r="I29" s="117">
        <v>0</v>
      </c>
      <c r="J29" s="114">
        <f>ROUND(I29*J24,2)</f>
        <v>0</v>
      </c>
    </row>
    <row r="30" spans="1:10" ht="15.75" customHeight="1" x14ac:dyDescent="0.2">
      <c r="A30" s="243" t="s">
        <v>253</v>
      </c>
      <c r="B30" s="197"/>
      <c r="C30" s="197"/>
      <c r="D30" s="197"/>
      <c r="E30" s="197"/>
      <c r="F30" s="197"/>
      <c r="G30" s="197"/>
      <c r="H30" s="197"/>
      <c r="I30" s="200"/>
      <c r="J30" s="118">
        <f>SUM(J24:J29)</f>
        <v>1780.21</v>
      </c>
    </row>
    <row r="31" spans="1:10" ht="12.75" customHeight="1" x14ac:dyDescent="0.2">
      <c r="A31" s="225"/>
      <c r="B31" s="197"/>
      <c r="C31" s="197"/>
      <c r="D31" s="197"/>
      <c r="E31" s="197"/>
      <c r="F31" s="197"/>
      <c r="G31" s="197"/>
      <c r="H31" s="197"/>
      <c r="I31" s="197"/>
      <c r="J31" s="200"/>
    </row>
    <row r="32" spans="1:10" ht="15.75" customHeight="1" x14ac:dyDescent="0.2">
      <c r="A32" s="226" t="s">
        <v>254</v>
      </c>
      <c r="B32" s="197"/>
      <c r="C32" s="197"/>
      <c r="D32" s="197"/>
      <c r="E32" s="197"/>
      <c r="F32" s="197"/>
      <c r="G32" s="197"/>
      <c r="H32" s="197"/>
      <c r="I32" s="197"/>
      <c r="J32" s="200"/>
    </row>
    <row r="33" spans="1:10" ht="15" customHeight="1" x14ac:dyDescent="0.2">
      <c r="A33" s="227" t="s">
        <v>255</v>
      </c>
      <c r="B33" s="197"/>
      <c r="C33" s="197"/>
      <c r="D33" s="197"/>
      <c r="E33" s="197"/>
      <c r="F33" s="197"/>
      <c r="G33" s="197"/>
      <c r="H33" s="197"/>
      <c r="I33" s="197"/>
      <c r="J33" s="200"/>
    </row>
    <row r="34" spans="1:10" ht="15" customHeight="1" x14ac:dyDescent="0.2">
      <c r="A34" s="119" t="s">
        <v>256</v>
      </c>
      <c r="B34" s="228" t="s">
        <v>257</v>
      </c>
      <c r="C34" s="197"/>
      <c r="D34" s="197"/>
      <c r="E34" s="197"/>
      <c r="F34" s="197"/>
      <c r="G34" s="197"/>
      <c r="H34" s="197"/>
      <c r="I34" s="200"/>
      <c r="J34" s="120" t="s">
        <v>258</v>
      </c>
    </row>
    <row r="35" spans="1:10" ht="27" customHeight="1" x14ac:dyDescent="0.2">
      <c r="A35" s="121" t="s">
        <v>185</v>
      </c>
      <c r="B35" s="213" t="s">
        <v>259</v>
      </c>
      <c r="C35" s="197"/>
      <c r="D35" s="197"/>
      <c r="E35" s="197"/>
      <c r="F35" s="197"/>
      <c r="G35" s="197"/>
      <c r="H35" s="200"/>
      <c r="I35" s="122">
        <v>8.3299999999999999E-2</v>
      </c>
      <c r="J35" s="123">
        <f t="shared" ref="J35:J36" si="0">ROUND($J$30*I35,2)</f>
        <v>148.29</v>
      </c>
    </row>
    <row r="36" spans="1:10" ht="36" customHeight="1" x14ac:dyDescent="0.2">
      <c r="A36" s="121" t="s">
        <v>187</v>
      </c>
      <c r="B36" s="229" t="s">
        <v>260</v>
      </c>
      <c r="C36" s="197"/>
      <c r="D36" s="197"/>
      <c r="E36" s="197"/>
      <c r="F36" s="197"/>
      <c r="G36" s="197"/>
      <c r="H36" s="200"/>
      <c r="I36" s="124">
        <v>3.0249999999999999E-2</v>
      </c>
      <c r="J36" s="123">
        <f t="shared" si="0"/>
        <v>53.85</v>
      </c>
    </row>
    <row r="37" spans="1:10" ht="12.75" customHeight="1" x14ac:dyDescent="0.2">
      <c r="A37" s="230" t="s">
        <v>261</v>
      </c>
      <c r="B37" s="197"/>
      <c r="C37" s="197"/>
      <c r="D37" s="197"/>
      <c r="E37" s="197"/>
      <c r="F37" s="197"/>
      <c r="G37" s="197"/>
      <c r="H37" s="197"/>
      <c r="I37" s="200"/>
      <c r="J37" s="123">
        <f>SUM(J35+J36)</f>
        <v>202.14</v>
      </c>
    </row>
    <row r="38" spans="1:10" ht="12.75" customHeight="1" x14ac:dyDescent="0.2">
      <c r="A38" s="125" t="s">
        <v>190</v>
      </c>
      <c r="B38" s="231" t="s">
        <v>262</v>
      </c>
      <c r="C38" s="197"/>
      <c r="D38" s="197"/>
      <c r="E38" s="197"/>
      <c r="F38" s="197"/>
      <c r="G38" s="197"/>
      <c r="H38" s="197"/>
      <c r="I38" s="200"/>
      <c r="J38" s="126">
        <f>ROUND(I51*J37,2)</f>
        <v>74.39</v>
      </c>
    </row>
    <row r="39" spans="1:10" ht="12.75" customHeight="1" x14ac:dyDescent="0.2">
      <c r="A39" s="232" t="s">
        <v>261</v>
      </c>
      <c r="B39" s="197"/>
      <c r="C39" s="197"/>
      <c r="D39" s="197"/>
      <c r="E39" s="197"/>
      <c r="F39" s="197"/>
      <c r="G39" s="197"/>
      <c r="H39" s="197"/>
      <c r="I39" s="200"/>
      <c r="J39" s="127">
        <f>J37+J38</f>
        <v>276.52999999999997</v>
      </c>
    </row>
    <row r="40" spans="1:10" ht="12.75" customHeight="1" x14ac:dyDescent="0.2">
      <c r="A40" s="225"/>
      <c r="B40" s="197"/>
      <c r="C40" s="197"/>
      <c r="D40" s="197"/>
      <c r="E40" s="197"/>
      <c r="F40" s="197"/>
      <c r="G40" s="197"/>
      <c r="H40" s="197"/>
      <c r="I40" s="197"/>
      <c r="J40" s="200"/>
    </row>
    <row r="41" spans="1:10" ht="30" customHeight="1" x14ac:dyDescent="0.2">
      <c r="A41" s="226" t="s">
        <v>263</v>
      </c>
      <c r="B41" s="197"/>
      <c r="C41" s="197"/>
      <c r="D41" s="197"/>
      <c r="E41" s="197"/>
      <c r="F41" s="197"/>
      <c r="G41" s="197"/>
      <c r="H41" s="197"/>
      <c r="I41" s="197"/>
      <c r="J41" s="200"/>
    </row>
    <row r="42" spans="1:10" ht="30" customHeight="1" x14ac:dyDescent="0.2">
      <c r="A42" s="128" t="s">
        <v>264</v>
      </c>
      <c r="B42" s="233" t="s">
        <v>265</v>
      </c>
      <c r="C42" s="197"/>
      <c r="D42" s="197"/>
      <c r="E42" s="197"/>
      <c r="F42" s="197"/>
      <c r="G42" s="197"/>
      <c r="H42" s="200"/>
      <c r="I42" s="113" t="s">
        <v>266</v>
      </c>
      <c r="J42" s="113" t="s">
        <v>267</v>
      </c>
    </row>
    <row r="43" spans="1:10" ht="12.75" customHeight="1" x14ac:dyDescent="0.2">
      <c r="A43" s="121" t="s">
        <v>185</v>
      </c>
      <c r="B43" s="231" t="s">
        <v>268</v>
      </c>
      <c r="C43" s="197"/>
      <c r="D43" s="197"/>
      <c r="E43" s="197"/>
      <c r="F43" s="197"/>
      <c r="G43" s="197"/>
      <c r="H43" s="200"/>
      <c r="I43" s="129">
        <v>0.2</v>
      </c>
      <c r="J43" s="130">
        <f t="shared" ref="J43:J50" si="1">ROUND($J$30*I43,2)</f>
        <v>356.04</v>
      </c>
    </row>
    <row r="44" spans="1:10" ht="12.75" customHeight="1" x14ac:dyDescent="0.2">
      <c r="A44" s="121" t="s">
        <v>187</v>
      </c>
      <c r="B44" s="231" t="s">
        <v>269</v>
      </c>
      <c r="C44" s="197"/>
      <c r="D44" s="197"/>
      <c r="E44" s="197"/>
      <c r="F44" s="197"/>
      <c r="G44" s="197"/>
      <c r="H44" s="200"/>
      <c r="I44" s="129">
        <v>2.5000000000000001E-2</v>
      </c>
      <c r="J44" s="130">
        <f t="shared" si="1"/>
        <v>44.51</v>
      </c>
    </row>
    <row r="45" spans="1:10" ht="12.75" customHeight="1" x14ac:dyDescent="0.2">
      <c r="A45" s="121" t="s">
        <v>190</v>
      </c>
      <c r="B45" s="231" t="s">
        <v>270</v>
      </c>
      <c r="C45" s="197"/>
      <c r="D45" s="200"/>
      <c r="E45" s="131" t="s">
        <v>271</v>
      </c>
      <c r="F45" s="132">
        <v>0.03</v>
      </c>
      <c r="G45" s="131" t="s">
        <v>272</v>
      </c>
      <c r="H45" s="133">
        <v>1</v>
      </c>
      <c r="I45" s="134">
        <f>ROUND((F45*H45),6)</f>
        <v>0.03</v>
      </c>
      <c r="J45" s="130">
        <f t="shared" si="1"/>
        <v>53.41</v>
      </c>
    </row>
    <row r="46" spans="1:10" ht="12.75" customHeight="1" x14ac:dyDescent="0.2">
      <c r="A46" s="121" t="s">
        <v>192</v>
      </c>
      <c r="B46" s="231" t="s">
        <v>273</v>
      </c>
      <c r="C46" s="197"/>
      <c r="D46" s="197"/>
      <c r="E46" s="197"/>
      <c r="F46" s="197"/>
      <c r="G46" s="197"/>
      <c r="H46" s="200"/>
      <c r="I46" s="129">
        <v>1.4999999999999999E-2</v>
      </c>
      <c r="J46" s="130">
        <f t="shared" si="1"/>
        <v>26.7</v>
      </c>
    </row>
    <row r="47" spans="1:10" ht="12.75" customHeight="1" x14ac:dyDescent="0.2">
      <c r="A47" s="121" t="s">
        <v>250</v>
      </c>
      <c r="B47" s="231" t="s">
        <v>274</v>
      </c>
      <c r="C47" s="197"/>
      <c r="D47" s="197"/>
      <c r="E47" s="197"/>
      <c r="F47" s="197"/>
      <c r="G47" s="197"/>
      <c r="H47" s="200"/>
      <c r="I47" s="129">
        <v>0.01</v>
      </c>
      <c r="J47" s="130">
        <f t="shared" si="1"/>
        <v>17.8</v>
      </c>
    </row>
    <row r="48" spans="1:10" ht="12.75" customHeight="1" x14ac:dyDescent="0.2">
      <c r="A48" s="121" t="s">
        <v>275</v>
      </c>
      <c r="B48" s="231" t="s">
        <v>276</v>
      </c>
      <c r="C48" s="197"/>
      <c r="D48" s="197"/>
      <c r="E48" s="197"/>
      <c r="F48" s="197"/>
      <c r="G48" s="197"/>
      <c r="H48" s="200"/>
      <c r="I48" s="129">
        <v>6.0000000000000001E-3</v>
      </c>
      <c r="J48" s="130">
        <f t="shared" si="1"/>
        <v>10.68</v>
      </c>
    </row>
    <row r="49" spans="1:10" ht="12.75" customHeight="1" x14ac:dyDescent="0.2">
      <c r="A49" s="121" t="s">
        <v>277</v>
      </c>
      <c r="B49" s="231" t="s">
        <v>278</v>
      </c>
      <c r="C49" s="197"/>
      <c r="D49" s="197"/>
      <c r="E49" s="197"/>
      <c r="F49" s="197"/>
      <c r="G49" s="197"/>
      <c r="H49" s="200"/>
      <c r="I49" s="129">
        <v>2E-3</v>
      </c>
      <c r="J49" s="130">
        <f t="shared" si="1"/>
        <v>3.56</v>
      </c>
    </row>
    <row r="50" spans="1:10" ht="12.75" customHeight="1" x14ac:dyDescent="0.2">
      <c r="A50" s="121" t="s">
        <v>279</v>
      </c>
      <c r="B50" s="231" t="s">
        <v>280</v>
      </c>
      <c r="C50" s="197"/>
      <c r="D50" s="197"/>
      <c r="E50" s="197"/>
      <c r="F50" s="197"/>
      <c r="G50" s="197"/>
      <c r="H50" s="200"/>
      <c r="I50" s="129">
        <v>0.08</v>
      </c>
      <c r="J50" s="130">
        <f t="shared" si="1"/>
        <v>142.41999999999999</v>
      </c>
    </row>
    <row r="51" spans="1:10" ht="12.75" customHeight="1" x14ac:dyDescent="0.2">
      <c r="A51" s="232" t="s">
        <v>261</v>
      </c>
      <c r="B51" s="197"/>
      <c r="C51" s="197"/>
      <c r="D51" s="197"/>
      <c r="E51" s="197"/>
      <c r="F51" s="197"/>
      <c r="G51" s="197"/>
      <c r="H51" s="200"/>
      <c r="I51" s="135">
        <f t="shared" ref="I51:J51" si="2">SUM(I43:I50)</f>
        <v>0.36800000000000005</v>
      </c>
      <c r="J51" s="127">
        <f t="shared" si="2"/>
        <v>655.12</v>
      </c>
    </row>
    <row r="52" spans="1:10" ht="12.75" customHeight="1" x14ac:dyDescent="0.2">
      <c r="A52" s="225"/>
      <c r="B52" s="197"/>
      <c r="C52" s="197"/>
      <c r="D52" s="197"/>
      <c r="E52" s="197"/>
      <c r="F52" s="197"/>
      <c r="G52" s="197"/>
      <c r="H52" s="197"/>
      <c r="I52" s="197"/>
      <c r="J52" s="200"/>
    </row>
    <row r="53" spans="1:10" ht="15.75" customHeight="1" x14ac:dyDescent="0.2">
      <c r="A53" s="226" t="s">
        <v>281</v>
      </c>
      <c r="B53" s="197"/>
      <c r="C53" s="197"/>
      <c r="D53" s="197"/>
      <c r="E53" s="197"/>
      <c r="F53" s="197"/>
      <c r="G53" s="197"/>
      <c r="H53" s="197"/>
      <c r="I53" s="197"/>
      <c r="J53" s="200"/>
    </row>
    <row r="54" spans="1:10" ht="15.75" customHeight="1" x14ac:dyDescent="0.2">
      <c r="A54" s="128" t="s">
        <v>282</v>
      </c>
      <c r="B54" s="233" t="s">
        <v>283</v>
      </c>
      <c r="C54" s="197"/>
      <c r="D54" s="197"/>
      <c r="E54" s="197"/>
      <c r="F54" s="197"/>
      <c r="G54" s="197"/>
      <c r="H54" s="197"/>
      <c r="I54" s="200"/>
      <c r="J54" s="113" t="s">
        <v>258</v>
      </c>
    </row>
    <row r="55" spans="1:10" ht="12.75" customHeight="1" x14ac:dyDescent="0.2">
      <c r="A55" s="121" t="s">
        <v>185</v>
      </c>
      <c r="B55" s="231" t="s">
        <v>284</v>
      </c>
      <c r="C55" s="197"/>
      <c r="D55" s="197"/>
      <c r="E55" s="197"/>
      <c r="F55" s="197"/>
      <c r="G55" s="197"/>
      <c r="H55" s="197"/>
      <c r="I55" s="200"/>
      <c r="J55" s="130">
        <f>IF(ROUND((I58*I56*I57)-(J24*I59),2)&lt;0,0,ROUND((I58*I56*I57)-(J24*I59),2))</f>
        <v>170.84</v>
      </c>
    </row>
    <row r="56" spans="1:10" ht="12.75" customHeight="1" x14ac:dyDescent="0.2">
      <c r="A56" s="121"/>
      <c r="B56" s="244" t="s">
        <v>285</v>
      </c>
      <c r="C56" s="197"/>
      <c r="D56" s="197"/>
      <c r="E56" s="197"/>
      <c r="F56" s="197"/>
      <c r="G56" s="197"/>
      <c r="H56" s="200"/>
      <c r="I56" s="136">
        <v>5.75</v>
      </c>
      <c r="J56" s="137" t="s">
        <v>286</v>
      </c>
    </row>
    <row r="57" spans="1:10" ht="12.75" customHeight="1" x14ac:dyDescent="0.2">
      <c r="A57" s="121"/>
      <c r="B57" s="244" t="s">
        <v>287</v>
      </c>
      <c r="C57" s="197"/>
      <c r="D57" s="197"/>
      <c r="E57" s="197"/>
      <c r="F57" s="197"/>
      <c r="G57" s="197"/>
      <c r="H57" s="200"/>
      <c r="I57" s="138">
        <v>2</v>
      </c>
      <c r="J57" s="137"/>
    </row>
    <row r="58" spans="1:10" ht="12.75" customHeight="1" x14ac:dyDescent="0.2">
      <c r="A58" s="121"/>
      <c r="B58" s="244" t="s">
        <v>288</v>
      </c>
      <c r="C58" s="197"/>
      <c r="D58" s="197"/>
      <c r="E58" s="197"/>
      <c r="F58" s="197"/>
      <c r="G58" s="197"/>
      <c r="H58" s="200"/>
      <c r="I58" s="139">
        <v>22</v>
      </c>
      <c r="J58" s="137"/>
    </row>
    <row r="59" spans="1:10" ht="12.75" customHeight="1" x14ac:dyDescent="0.2">
      <c r="A59" s="121"/>
      <c r="B59" s="244" t="s">
        <v>289</v>
      </c>
      <c r="C59" s="197"/>
      <c r="D59" s="197"/>
      <c r="E59" s="197"/>
      <c r="F59" s="197"/>
      <c r="G59" s="197"/>
      <c r="H59" s="200"/>
      <c r="I59" s="140">
        <v>0.06</v>
      </c>
      <c r="J59" s="137"/>
    </row>
    <row r="60" spans="1:10" ht="12.75" customHeight="1" x14ac:dyDescent="0.2">
      <c r="A60" s="121" t="s">
        <v>187</v>
      </c>
      <c r="B60" s="231" t="s">
        <v>290</v>
      </c>
      <c r="C60" s="197"/>
      <c r="D60" s="197"/>
      <c r="E60" s="197"/>
      <c r="F60" s="197"/>
      <c r="G60" s="197"/>
      <c r="H60" s="197"/>
      <c r="I60" s="200"/>
      <c r="J60" s="130">
        <f>SUM(I61-(I61*I62))</f>
        <v>0</v>
      </c>
    </row>
    <row r="61" spans="1:10" ht="12.75" customHeight="1" x14ac:dyDescent="0.2">
      <c r="A61" s="121"/>
      <c r="B61" s="244" t="s">
        <v>291</v>
      </c>
      <c r="C61" s="197"/>
      <c r="D61" s="197"/>
      <c r="E61" s="197"/>
      <c r="F61" s="197"/>
      <c r="G61" s="197"/>
      <c r="H61" s="200"/>
      <c r="I61" s="136">
        <v>0</v>
      </c>
      <c r="J61" s="137" t="s">
        <v>286</v>
      </c>
    </row>
    <row r="62" spans="1:10" ht="12.75" customHeight="1" x14ac:dyDescent="0.2">
      <c r="A62" s="141"/>
      <c r="B62" s="244" t="s">
        <v>292</v>
      </c>
      <c r="C62" s="197"/>
      <c r="D62" s="197"/>
      <c r="E62" s="197"/>
      <c r="F62" s="197"/>
      <c r="G62" s="197"/>
      <c r="H62" s="200"/>
      <c r="I62" s="142">
        <v>0</v>
      </c>
      <c r="J62" s="137"/>
    </row>
    <row r="63" spans="1:10" ht="12.75" customHeight="1" x14ac:dyDescent="0.2">
      <c r="A63" s="121" t="s">
        <v>190</v>
      </c>
      <c r="B63" s="213" t="s">
        <v>293</v>
      </c>
      <c r="C63" s="197"/>
      <c r="D63" s="197"/>
      <c r="E63" s="197"/>
      <c r="F63" s="197"/>
      <c r="G63" s="197"/>
      <c r="H63" s="197"/>
      <c r="I63" s="200"/>
      <c r="J63" s="130">
        <v>19.420000000000002</v>
      </c>
    </row>
    <row r="64" spans="1:10" ht="12.75" customHeight="1" x14ac:dyDescent="0.2">
      <c r="A64" s="232" t="s">
        <v>253</v>
      </c>
      <c r="B64" s="197"/>
      <c r="C64" s="197"/>
      <c r="D64" s="197"/>
      <c r="E64" s="197"/>
      <c r="F64" s="197"/>
      <c r="G64" s="197"/>
      <c r="H64" s="197"/>
      <c r="I64" s="200"/>
      <c r="J64" s="127">
        <f>SUM(J55:J63)</f>
        <v>190.26</v>
      </c>
    </row>
    <row r="65" spans="1:10" ht="12.75" customHeight="1" x14ac:dyDescent="0.2">
      <c r="A65" s="225"/>
      <c r="B65" s="197"/>
      <c r="C65" s="197"/>
      <c r="D65" s="197"/>
      <c r="E65" s="197"/>
      <c r="F65" s="197"/>
      <c r="G65" s="197"/>
      <c r="H65" s="197"/>
      <c r="I65" s="197"/>
      <c r="J65" s="200"/>
    </row>
    <row r="66" spans="1:10" ht="15.75" customHeight="1" x14ac:dyDescent="0.2">
      <c r="A66" s="226" t="s">
        <v>294</v>
      </c>
      <c r="B66" s="197"/>
      <c r="C66" s="197"/>
      <c r="D66" s="197"/>
      <c r="E66" s="197"/>
      <c r="F66" s="197"/>
      <c r="G66" s="197"/>
      <c r="H66" s="197"/>
      <c r="I66" s="197"/>
      <c r="J66" s="200"/>
    </row>
    <row r="67" spans="1:10" ht="15.75" customHeight="1" x14ac:dyDescent="0.2">
      <c r="A67" s="113">
        <v>2</v>
      </c>
      <c r="B67" s="240" t="s">
        <v>295</v>
      </c>
      <c r="C67" s="197"/>
      <c r="D67" s="197"/>
      <c r="E67" s="197"/>
      <c r="F67" s="197"/>
      <c r="G67" s="197"/>
      <c r="H67" s="197"/>
      <c r="I67" s="200"/>
      <c r="J67" s="113" t="s">
        <v>258</v>
      </c>
    </row>
    <row r="68" spans="1:10" ht="14.25" customHeight="1" x14ac:dyDescent="0.2">
      <c r="A68" s="87" t="s">
        <v>256</v>
      </c>
      <c r="B68" s="87"/>
      <c r="C68" s="213" t="s">
        <v>296</v>
      </c>
      <c r="D68" s="197"/>
      <c r="E68" s="197"/>
      <c r="F68" s="197"/>
      <c r="G68" s="197"/>
      <c r="H68" s="197"/>
      <c r="I68" s="200"/>
      <c r="J68" s="143">
        <f>J39</f>
        <v>276.52999999999997</v>
      </c>
    </row>
    <row r="69" spans="1:10" ht="14.25" customHeight="1" x14ac:dyDescent="0.2">
      <c r="A69" s="87" t="s">
        <v>264</v>
      </c>
      <c r="B69" s="87"/>
      <c r="C69" s="213" t="s">
        <v>265</v>
      </c>
      <c r="D69" s="197"/>
      <c r="E69" s="197"/>
      <c r="F69" s="197"/>
      <c r="G69" s="197"/>
      <c r="H69" s="197"/>
      <c r="I69" s="200"/>
      <c r="J69" s="143">
        <f>J51</f>
        <v>655.12</v>
      </c>
    </row>
    <row r="70" spans="1:10" ht="14.25" customHeight="1" x14ac:dyDescent="0.2">
      <c r="A70" s="87" t="s">
        <v>282</v>
      </c>
      <c r="B70" s="87"/>
      <c r="C70" s="213" t="s">
        <v>283</v>
      </c>
      <c r="D70" s="197"/>
      <c r="E70" s="197"/>
      <c r="F70" s="197"/>
      <c r="G70" s="197"/>
      <c r="H70" s="197"/>
      <c r="I70" s="200"/>
      <c r="J70" s="143">
        <f>J64</f>
        <v>190.26</v>
      </c>
    </row>
    <row r="71" spans="1:10" ht="14.25" customHeight="1" x14ac:dyDescent="0.2">
      <c r="A71" s="243" t="s">
        <v>261</v>
      </c>
      <c r="B71" s="197"/>
      <c r="C71" s="197"/>
      <c r="D71" s="197"/>
      <c r="E71" s="197"/>
      <c r="F71" s="197"/>
      <c r="G71" s="197"/>
      <c r="H71" s="197"/>
      <c r="I71" s="200"/>
      <c r="J71" s="144">
        <f>SUM(J68+J69+J70)</f>
        <v>1121.9099999999999</v>
      </c>
    </row>
    <row r="72" spans="1:10" ht="12.75" customHeight="1" x14ac:dyDescent="0.2">
      <c r="A72" s="225"/>
      <c r="B72" s="197"/>
      <c r="C72" s="197"/>
      <c r="D72" s="197"/>
      <c r="E72" s="197"/>
      <c r="F72" s="197"/>
      <c r="G72" s="197"/>
      <c r="H72" s="197"/>
      <c r="I72" s="197"/>
      <c r="J72" s="200"/>
    </row>
    <row r="73" spans="1:10" ht="15.75" customHeight="1" x14ac:dyDescent="0.2">
      <c r="A73" s="226" t="s">
        <v>297</v>
      </c>
      <c r="B73" s="197"/>
      <c r="C73" s="197"/>
      <c r="D73" s="197"/>
      <c r="E73" s="197"/>
      <c r="F73" s="197"/>
      <c r="G73" s="197"/>
      <c r="H73" s="197"/>
      <c r="I73" s="197"/>
      <c r="J73" s="200"/>
    </row>
    <row r="74" spans="1:10" ht="15.75" customHeight="1" x14ac:dyDescent="0.2">
      <c r="A74" s="128">
        <v>3</v>
      </c>
      <c r="B74" s="240" t="s">
        <v>298</v>
      </c>
      <c r="C74" s="197"/>
      <c r="D74" s="197"/>
      <c r="E74" s="197"/>
      <c r="F74" s="197"/>
      <c r="G74" s="197"/>
      <c r="H74" s="197"/>
      <c r="I74" s="200"/>
      <c r="J74" s="128" t="s">
        <v>299</v>
      </c>
    </row>
    <row r="75" spans="1:10" ht="46.5" customHeight="1" x14ac:dyDescent="0.2">
      <c r="A75" s="121" t="s">
        <v>185</v>
      </c>
      <c r="B75" s="213" t="s">
        <v>300</v>
      </c>
      <c r="C75" s="197"/>
      <c r="D75" s="197"/>
      <c r="E75" s="197"/>
      <c r="F75" s="197"/>
      <c r="G75" s="197"/>
      <c r="H75" s="197"/>
      <c r="I75" s="200"/>
      <c r="J75" s="130">
        <f>ROUND((($J$30/12)+($J$35/12)+($J$30*0.121/12))*(30/30)*0.05,2)</f>
        <v>8.93</v>
      </c>
    </row>
    <row r="76" spans="1:10" ht="14.25" customHeight="1" x14ac:dyDescent="0.2">
      <c r="A76" s="121" t="s">
        <v>187</v>
      </c>
      <c r="B76" s="213" t="s">
        <v>301</v>
      </c>
      <c r="C76" s="197"/>
      <c r="D76" s="197"/>
      <c r="E76" s="197"/>
      <c r="F76" s="197"/>
      <c r="G76" s="197"/>
      <c r="H76" s="197"/>
      <c r="I76" s="200"/>
      <c r="J76" s="130">
        <f>ROUND($J$75*I50,2)</f>
        <v>0.71</v>
      </c>
    </row>
    <row r="77" spans="1:10" ht="27" customHeight="1" x14ac:dyDescent="0.2">
      <c r="A77" s="121" t="s">
        <v>190</v>
      </c>
      <c r="B77" s="213" t="s">
        <v>302</v>
      </c>
      <c r="C77" s="197"/>
      <c r="D77" s="197"/>
      <c r="E77" s="197"/>
      <c r="F77" s="197"/>
      <c r="G77" s="197"/>
      <c r="H77" s="197"/>
      <c r="I77" s="200"/>
      <c r="J77" s="130">
        <f>ROUND(((($J$30/30)*7)/$H$11)*1,2)</f>
        <v>6.92</v>
      </c>
    </row>
    <row r="78" spans="1:10" ht="14.25" customHeight="1" x14ac:dyDescent="0.2">
      <c r="A78" s="121" t="s">
        <v>192</v>
      </c>
      <c r="B78" s="213" t="s">
        <v>303</v>
      </c>
      <c r="C78" s="197"/>
      <c r="D78" s="197"/>
      <c r="E78" s="197"/>
      <c r="F78" s="197"/>
      <c r="G78" s="197"/>
      <c r="H78" s="197"/>
      <c r="I78" s="200"/>
      <c r="J78" s="130">
        <f>ROUND($I$51*J77,2)</f>
        <v>2.5499999999999998</v>
      </c>
    </row>
    <row r="79" spans="1:10" ht="36" customHeight="1" x14ac:dyDescent="0.2">
      <c r="A79" s="121" t="s">
        <v>250</v>
      </c>
      <c r="B79" s="213" t="s">
        <v>304</v>
      </c>
      <c r="C79" s="197"/>
      <c r="D79" s="197"/>
      <c r="E79" s="197"/>
      <c r="F79" s="197"/>
      <c r="G79" s="197"/>
      <c r="H79" s="200"/>
      <c r="I79" s="145">
        <v>0.04</v>
      </c>
      <c r="J79" s="130">
        <f>ROUND($J$30*I79,2)</f>
        <v>71.209999999999994</v>
      </c>
    </row>
    <row r="80" spans="1:10" ht="12.75" customHeight="1" x14ac:dyDescent="0.2">
      <c r="A80" s="232" t="s">
        <v>261</v>
      </c>
      <c r="B80" s="197"/>
      <c r="C80" s="197"/>
      <c r="D80" s="197"/>
      <c r="E80" s="197"/>
      <c r="F80" s="197"/>
      <c r="G80" s="197"/>
      <c r="H80" s="197"/>
      <c r="I80" s="200"/>
      <c r="J80" s="127">
        <f>SUM(J75:J79)</f>
        <v>90.32</v>
      </c>
    </row>
    <row r="81" spans="1:10" ht="12.75" customHeight="1" x14ac:dyDescent="0.2">
      <c r="A81" s="225"/>
      <c r="B81" s="197"/>
      <c r="C81" s="197"/>
      <c r="D81" s="197"/>
      <c r="E81" s="197"/>
      <c r="F81" s="197"/>
      <c r="G81" s="197"/>
      <c r="H81" s="197"/>
      <c r="I81" s="197"/>
      <c r="J81" s="200"/>
    </row>
    <row r="82" spans="1:10" ht="15.75" customHeight="1" x14ac:dyDescent="0.2">
      <c r="A82" s="226" t="s">
        <v>305</v>
      </c>
      <c r="B82" s="197"/>
      <c r="C82" s="197"/>
      <c r="D82" s="197"/>
      <c r="E82" s="197"/>
      <c r="F82" s="197"/>
      <c r="G82" s="197"/>
      <c r="H82" s="197"/>
      <c r="I82" s="197"/>
      <c r="J82" s="200"/>
    </row>
    <row r="83" spans="1:10" ht="15" customHeight="1" x14ac:dyDescent="0.2">
      <c r="A83" s="245" t="s">
        <v>306</v>
      </c>
      <c r="B83" s="197"/>
      <c r="C83" s="197"/>
      <c r="D83" s="197"/>
      <c r="E83" s="197"/>
      <c r="F83" s="197"/>
      <c r="G83" s="197"/>
      <c r="H83" s="197"/>
      <c r="I83" s="200"/>
      <c r="J83" s="146">
        <f>J86+J30+J35+J36</f>
        <v>2143.9</v>
      </c>
    </row>
    <row r="84" spans="1:10" ht="14.25" customHeight="1" x14ac:dyDescent="0.2">
      <c r="A84" s="246"/>
      <c r="B84" s="197"/>
      <c r="C84" s="197"/>
      <c r="D84" s="197"/>
      <c r="E84" s="197"/>
      <c r="F84" s="197"/>
      <c r="G84" s="197"/>
      <c r="H84" s="197"/>
      <c r="I84" s="197"/>
      <c r="J84" s="200"/>
    </row>
    <row r="85" spans="1:10" ht="15" customHeight="1" x14ac:dyDescent="0.25">
      <c r="A85" s="147" t="s">
        <v>307</v>
      </c>
      <c r="B85" s="233" t="s">
        <v>308</v>
      </c>
      <c r="C85" s="197"/>
      <c r="D85" s="197"/>
      <c r="E85" s="197"/>
      <c r="F85" s="197"/>
      <c r="G85" s="197"/>
      <c r="H85" s="197"/>
      <c r="I85" s="200"/>
      <c r="J85" s="147" t="s">
        <v>258</v>
      </c>
    </row>
    <row r="86" spans="1:10" ht="12.75" customHeight="1" x14ac:dyDescent="0.2">
      <c r="A86" s="125" t="s">
        <v>185</v>
      </c>
      <c r="B86" s="213" t="s">
        <v>309</v>
      </c>
      <c r="C86" s="197"/>
      <c r="D86" s="197"/>
      <c r="E86" s="197"/>
      <c r="F86" s="197"/>
      <c r="G86" s="197"/>
      <c r="H86" s="200"/>
      <c r="I86" s="124">
        <v>9.0749999999999997E-2</v>
      </c>
      <c r="J86" s="130">
        <f>ROUND(($J$30*I86),2)</f>
        <v>161.55000000000001</v>
      </c>
    </row>
    <row r="87" spans="1:10" ht="12.75" customHeight="1" x14ac:dyDescent="0.2">
      <c r="A87" s="125" t="s">
        <v>187</v>
      </c>
      <c r="B87" s="231" t="s">
        <v>310</v>
      </c>
      <c r="C87" s="197"/>
      <c r="D87" s="197"/>
      <c r="E87" s="197"/>
      <c r="F87" s="197"/>
      <c r="G87" s="197"/>
      <c r="H87" s="197"/>
      <c r="I87" s="200"/>
      <c r="J87" s="148">
        <f>ROUND((($J$83/30)*2.96)/12,2)</f>
        <v>17.63</v>
      </c>
    </row>
    <row r="88" spans="1:10" ht="12.75" customHeight="1" x14ac:dyDescent="0.2">
      <c r="A88" s="125" t="s">
        <v>190</v>
      </c>
      <c r="B88" s="231" t="s">
        <v>311</v>
      </c>
      <c r="C88" s="197"/>
      <c r="D88" s="197"/>
      <c r="E88" s="197"/>
      <c r="F88" s="197"/>
      <c r="G88" s="197"/>
      <c r="H88" s="197"/>
      <c r="I88" s="200"/>
      <c r="J88" s="148">
        <f>ROUND((($J$83/30)*5)/12*0.015,2)</f>
        <v>0.45</v>
      </c>
    </row>
    <row r="89" spans="1:10" ht="12.75" customHeight="1" x14ac:dyDescent="0.2">
      <c r="A89" s="125" t="s">
        <v>192</v>
      </c>
      <c r="B89" s="231" t="s">
        <v>312</v>
      </c>
      <c r="C89" s="197"/>
      <c r="D89" s="197"/>
      <c r="E89" s="197"/>
      <c r="F89" s="197"/>
      <c r="G89" s="197"/>
      <c r="H89" s="197"/>
      <c r="I89" s="200"/>
      <c r="J89" s="126">
        <f>ROUND(((($J$83/30)*0.97)/12),2)</f>
        <v>5.78</v>
      </c>
    </row>
    <row r="90" spans="1:10" ht="12.75" customHeight="1" x14ac:dyDescent="0.2">
      <c r="A90" s="121" t="s">
        <v>250</v>
      </c>
      <c r="B90" s="213" t="s">
        <v>313</v>
      </c>
      <c r="C90" s="197"/>
      <c r="D90" s="197"/>
      <c r="E90" s="197"/>
      <c r="F90" s="197"/>
      <c r="G90" s="197"/>
      <c r="H90" s="197"/>
      <c r="I90" s="200"/>
      <c r="J90" s="130">
        <f>ROUND(((((J30*0.121)+(I51)*(J30*0.121))*(4/12)))*0.02,2)+ROUND(((I50*J30+I51*J35+J64-J55-J60+J80)*4/12)*0.02,2)</f>
        <v>4</v>
      </c>
    </row>
    <row r="91" spans="1:10" ht="12.75" customHeight="1" x14ac:dyDescent="0.2">
      <c r="A91" s="149" t="s">
        <v>275</v>
      </c>
      <c r="B91" s="247" t="s">
        <v>314</v>
      </c>
      <c r="C91" s="197"/>
      <c r="D91" s="197"/>
      <c r="E91" s="197"/>
      <c r="F91" s="197"/>
      <c r="G91" s="197"/>
      <c r="H91" s="197"/>
      <c r="I91" s="200"/>
      <c r="J91" s="126">
        <f>ROUND(((($J$83/30)*3)/12),2)</f>
        <v>17.87</v>
      </c>
    </row>
    <row r="92" spans="1:10" ht="12.75" customHeight="1" x14ac:dyDescent="0.2">
      <c r="A92" s="232" t="s">
        <v>261</v>
      </c>
      <c r="B92" s="197"/>
      <c r="C92" s="197"/>
      <c r="D92" s="197"/>
      <c r="E92" s="197"/>
      <c r="F92" s="197"/>
      <c r="G92" s="197"/>
      <c r="H92" s="197"/>
      <c r="I92" s="200"/>
      <c r="J92" s="150">
        <f>SUM(J86:J91)</f>
        <v>207.28</v>
      </c>
    </row>
    <row r="93" spans="1:10" ht="14.25" customHeight="1" x14ac:dyDescent="0.2">
      <c r="A93" s="125" t="s">
        <v>277</v>
      </c>
      <c r="B93" s="231" t="s">
        <v>315</v>
      </c>
      <c r="C93" s="197"/>
      <c r="D93" s="197"/>
      <c r="E93" s="197"/>
      <c r="F93" s="197"/>
      <c r="G93" s="197"/>
      <c r="H93" s="197"/>
      <c r="I93" s="200"/>
      <c r="J93" s="126">
        <f>ROUND(I51*J92,2)</f>
        <v>76.28</v>
      </c>
    </row>
    <row r="94" spans="1:10" ht="12.75" customHeight="1" x14ac:dyDescent="0.2">
      <c r="A94" s="232" t="s">
        <v>261</v>
      </c>
      <c r="B94" s="197"/>
      <c r="C94" s="197"/>
      <c r="D94" s="197"/>
      <c r="E94" s="197"/>
      <c r="F94" s="197"/>
      <c r="G94" s="197"/>
      <c r="H94" s="197"/>
      <c r="I94" s="200"/>
      <c r="J94" s="127">
        <f>SUM(J92:J93)</f>
        <v>283.56</v>
      </c>
    </row>
    <row r="95" spans="1:10" ht="15.75" customHeight="1" x14ac:dyDescent="0.2">
      <c r="A95" s="226" t="s">
        <v>316</v>
      </c>
      <c r="B95" s="197"/>
      <c r="C95" s="197"/>
      <c r="D95" s="197"/>
      <c r="E95" s="197"/>
      <c r="F95" s="197"/>
      <c r="G95" s="197"/>
      <c r="H95" s="197"/>
      <c r="I95" s="197"/>
      <c r="J95" s="200"/>
    </row>
    <row r="96" spans="1:10" ht="15" customHeight="1" x14ac:dyDescent="0.2">
      <c r="A96" s="128" t="s">
        <v>317</v>
      </c>
      <c r="B96" s="233" t="s">
        <v>318</v>
      </c>
      <c r="C96" s="197"/>
      <c r="D96" s="197"/>
      <c r="E96" s="197"/>
      <c r="F96" s="197"/>
      <c r="G96" s="197"/>
      <c r="H96" s="197"/>
      <c r="I96" s="200"/>
      <c r="J96" s="151" t="s">
        <v>258</v>
      </c>
    </row>
    <row r="97" spans="1:10" ht="12.75" customHeight="1" x14ac:dyDescent="0.2">
      <c r="A97" s="121" t="s">
        <v>185</v>
      </c>
      <c r="B97" s="231" t="s">
        <v>319</v>
      </c>
      <c r="C97" s="197"/>
      <c r="D97" s="197"/>
      <c r="E97" s="197"/>
      <c r="F97" s="197"/>
      <c r="G97" s="197"/>
      <c r="H97" s="197"/>
      <c r="I97" s="200"/>
      <c r="J97" s="130">
        <v>0</v>
      </c>
    </row>
    <row r="98" spans="1:10" ht="12.75" customHeight="1" x14ac:dyDescent="0.2">
      <c r="A98" s="248" t="s">
        <v>261</v>
      </c>
      <c r="B98" s="197"/>
      <c r="C98" s="197"/>
      <c r="D98" s="197"/>
      <c r="E98" s="197"/>
      <c r="F98" s="197"/>
      <c r="G98" s="197"/>
      <c r="H98" s="197"/>
      <c r="I98" s="200"/>
      <c r="J98" s="130">
        <v>0</v>
      </c>
    </row>
    <row r="99" spans="1:10" ht="12.75" customHeight="1" x14ac:dyDescent="0.2">
      <c r="A99" s="125" t="s">
        <v>187</v>
      </c>
      <c r="B99" s="231" t="s">
        <v>320</v>
      </c>
      <c r="C99" s="197"/>
      <c r="D99" s="197"/>
      <c r="E99" s="197"/>
      <c r="F99" s="197"/>
      <c r="G99" s="197"/>
      <c r="H99" s="197"/>
      <c r="I99" s="200"/>
      <c r="J99" s="126">
        <f>ROUND(I51*J98,2)</f>
        <v>0</v>
      </c>
    </row>
    <row r="100" spans="1:10" ht="12.75" customHeight="1" x14ac:dyDescent="0.2">
      <c r="A100" s="232" t="s">
        <v>261</v>
      </c>
      <c r="B100" s="197"/>
      <c r="C100" s="197"/>
      <c r="D100" s="197"/>
      <c r="E100" s="197"/>
      <c r="F100" s="197"/>
      <c r="G100" s="197"/>
      <c r="H100" s="197"/>
      <c r="I100" s="200"/>
      <c r="J100" s="127">
        <f>SUM(J98:J99)</f>
        <v>0</v>
      </c>
    </row>
    <row r="101" spans="1:10" ht="12.75" customHeight="1" x14ac:dyDescent="0.2">
      <c r="A101" s="256"/>
      <c r="B101" s="197"/>
      <c r="C101" s="197"/>
      <c r="D101" s="197"/>
      <c r="E101" s="197"/>
      <c r="F101" s="197"/>
      <c r="G101" s="197"/>
      <c r="H101" s="197"/>
      <c r="I101" s="197"/>
      <c r="J101" s="200"/>
    </row>
    <row r="102" spans="1:10" ht="15.75" customHeight="1" x14ac:dyDescent="0.2">
      <c r="A102" s="226" t="s">
        <v>321</v>
      </c>
      <c r="B102" s="197"/>
      <c r="C102" s="197"/>
      <c r="D102" s="197"/>
      <c r="E102" s="197"/>
      <c r="F102" s="197"/>
      <c r="G102" s="197"/>
      <c r="H102" s="197"/>
      <c r="I102" s="197"/>
      <c r="J102" s="200"/>
    </row>
    <row r="103" spans="1:10" ht="15.75" customHeight="1" x14ac:dyDescent="0.2">
      <c r="A103" s="113">
        <v>4</v>
      </c>
      <c r="B103" s="240" t="s">
        <v>322</v>
      </c>
      <c r="C103" s="197"/>
      <c r="D103" s="197"/>
      <c r="E103" s="197"/>
      <c r="F103" s="197"/>
      <c r="G103" s="197"/>
      <c r="H103" s="197"/>
      <c r="I103" s="200"/>
      <c r="J103" s="151" t="s">
        <v>258</v>
      </c>
    </row>
    <row r="104" spans="1:10" ht="14.25" customHeight="1" x14ac:dyDescent="0.2">
      <c r="A104" s="87" t="s">
        <v>307</v>
      </c>
      <c r="B104" s="213" t="s">
        <v>323</v>
      </c>
      <c r="C104" s="197"/>
      <c r="D104" s="197"/>
      <c r="E104" s="197"/>
      <c r="F104" s="197"/>
      <c r="G104" s="197"/>
      <c r="H104" s="197"/>
      <c r="I104" s="200"/>
      <c r="J104" s="130">
        <f>J94</f>
        <v>283.56</v>
      </c>
    </row>
    <row r="105" spans="1:10" ht="14.25" customHeight="1" x14ac:dyDescent="0.2">
      <c r="A105" s="87" t="s">
        <v>324</v>
      </c>
      <c r="B105" s="213" t="s">
        <v>325</v>
      </c>
      <c r="C105" s="197"/>
      <c r="D105" s="197"/>
      <c r="E105" s="197"/>
      <c r="F105" s="197"/>
      <c r="G105" s="197"/>
      <c r="H105" s="197"/>
      <c r="I105" s="200"/>
      <c r="J105" s="130">
        <f>J100</f>
        <v>0</v>
      </c>
    </row>
    <row r="106" spans="1:10" ht="14.25" customHeight="1" x14ac:dyDescent="0.2">
      <c r="A106" s="243" t="s">
        <v>261</v>
      </c>
      <c r="B106" s="197"/>
      <c r="C106" s="197"/>
      <c r="D106" s="197"/>
      <c r="E106" s="197"/>
      <c r="F106" s="197"/>
      <c r="G106" s="197"/>
      <c r="H106" s="197"/>
      <c r="I106" s="200"/>
      <c r="J106" s="127">
        <f>SUM(J104+J105)</f>
        <v>283.56</v>
      </c>
    </row>
    <row r="107" spans="1:10" ht="12.75" customHeight="1" x14ac:dyDescent="0.2">
      <c r="A107" s="225"/>
      <c r="B107" s="197"/>
      <c r="C107" s="197"/>
      <c r="D107" s="197"/>
      <c r="E107" s="197"/>
      <c r="F107" s="197"/>
      <c r="G107" s="197"/>
      <c r="H107" s="197"/>
      <c r="I107" s="197"/>
      <c r="J107" s="200"/>
    </row>
    <row r="108" spans="1:10" ht="15.75" customHeight="1" x14ac:dyDescent="0.2">
      <c r="A108" s="226" t="s">
        <v>326</v>
      </c>
      <c r="B108" s="197"/>
      <c r="C108" s="197"/>
      <c r="D108" s="197"/>
      <c r="E108" s="197"/>
      <c r="F108" s="197"/>
      <c r="G108" s="197"/>
      <c r="H108" s="197"/>
      <c r="I108" s="197"/>
      <c r="J108" s="200"/>
    </row>
    <row r="109" spans="1:10" ht="15.75" customHeight="1" x14ac:dyDescent="0.2">
      <c r="A109" s="128">
        <v>5</v>
      </c>
      <c r="B109" s="233" t="s">
        <v>327</v>
      </c>
      <c r="C109" s="197"/>
      <c r="D109" s="197"/>
      <c r="E109" s="197"/>
      <c r="F109" s="197"/>
      <c r="G109" s="197"/>
      <c r="H109" s="197"/>
      <c r="I109" s="200"/>
      <c r="J109" s="128" t="s">
        <v>258</v>
      </c>
    </row>
    <row r="110" spans="1:10" ht="12.75" customHeight="1" x14ac:dyDescent="0.2">
      <c r="A110" s="121" t="s">
        <v>185</v>
      </c>
      <c r="B110" s="231" t="s">
        <v>328</v>
      </c>
      <c r="C110" s="197"/>
      <c r="D110" s="197"/>
      <c r="E110" s="197"/>
      <c r="F110" s="197"/>
      <c r="G110" s="197"/>
      <c r="H110" s="197"/>
      <c r="I110" s="200"/>
      <c r="J110" s="130">
        <f>'INSUMOS - Lajeado'!D187</f>
        <v>212.48999999999998</v>
      </c>
    </row>
    <row r="111" spans="1:10" ht="12.75" customHeight="1" x14ac:dyDescent="0.2">
      <c r="A111" s="121" t="s">
        <v>187</v>
      </c>
      <c r="B111" s="231" t="s">
        <v>329</v>
      </c>
      <c r="C111" s="197"/>
      <c r="D111" s="197"/>
      <c r="E111" s="197"/>
      <c r="F111" s="197"/>
      <c r="G111" s="197"/>
      <c r="H111" s="197"/>
      <c r="I111" s="200"/>
      <c r="J111" s="152">
        <f>'INSUMOS - Lajeado'!D184+'INSUMOS - Lajeado'!D185</f>
        <v>1440.4716666666668</v>
      </c>
    </row>
    <row r="112" spans="1:10" ht="12.75" customHeight="1" x14ac:dyDescent="0.2">
      <c r="A112" s="121" t="s">
        <v>190</v>
      </c>
      <c r="B112" s="231" t="s">
        <v>330</v>
      </c>
      <c r="C112" s="197"/>
      <c r="D112" s="197"/>
      <c r="E112" s="197"/>
      <c r="F112" s="197"/>
      <c r="G112" s="197"/>
      <c r="H112" s="197"/>
      <c r="I112" s="200"/>
      <c r="J112" s="152">
        <f>'INSUMOS - Lajeado'!D186</f>
        <v>129.54708333333335</v>
      </c>
    </row>
    <row r="113" spans="1:10" ht="12.75" customHeight="1" x14ac:dyDescent="0.2">
      <c r="A113" s="121" t="s">
        <v>192</v>
      </c>
      <c r="B113" s="231" t="s">
        <v>331</v>
      </c>
      <c r="C113" s="197"/>
      <c r="D113" s="197"/>
      <c r="E113" s="197"/>
      <c r="F113" s="197"/>
      <c r="G113" s="197"/>
      <c r="H113" s="197"/>
      <c r="I113" s="200"/>
      <c r="J113" s="152" t="s">
        <v>332</v>
      </c>
    </row>
    <row r="114" spans="1:10" ht="12.75" customHeight="1" x14ac:dyDescent="0.2">
      <c r="A114" s="232" t="s">
        <v>253</v>
      </c>
      <c r="B114" s="197"/>
      <c r="C114" s="197"/>
      <c r="D114" s="197"/>
      <c r="E114" s="197"/>
      <c r="F114" s="197"/>
      <c r="G114" s="197"/>
      <c r="H114" s="197"/>
      <c r="I114" s="200"/>
      <c r="J114" s="153">
        <f>SUM(J110:J113)</f>
        <v>1782.5087500000002</v>
      </c>
    </row>
    <row r="115" spans="1:10" ht="12.75" customHeight="1" x14ac:dyDescent="0.2">
      <c r="A115" s="225"/>
      <c r="B115" s="197"/>
      <c r="C115" s="197"/>
      <c r="D115" s="197"/>
      <c r="E115" s="197"/>
      <c r="F115" s="197"/>
      <c r="G115" s="197"/>
      <c r="H115" s="197"/>
      <c r="I115" s="197"/>
      <c r="J115" s="200"/>
    </row>
    <row r="116" spans="1:10" ht="15.75" customHeight="1" x14ac:dyDescent="0.2">
      <c r="A116" s="226" t="s">
        <v>333</v>
      </c>
      <c r="B116" s="197"/>
      <c r="C116" s="197"/>
      <c r="D116" s="197"/>
      <c r="E116" s="197"/>
      <c r="F116" s="197"/>
      <c r="G116" s="197"/>
      <c r="H116" s="197"/>
      <c r="I116" s="197"/>
      <c r="J116" s="200"/>
    </row>
    <row r="117" spans="1:10" ht="30" customHeight="1" x14ac:dyDescent="0.2">
      <c r="A117" s="128">
        <v>6</v>
      </c>
      <c r="B117" s="233" t="s">
        <v>334</v>
      </c>
      <c r="C117" s="197"/>
      <c r="D117" s="197"/>
      <c r="E117" s="197"/>
      <c r="F117" s="197"/>
      <c r="G117" s="197"/>
      <c r="H117" s="200"/>
      <c r="I117" s="113" t="s">
        <v>266</v>
      </c>
      <c r="J117" s="154" t="s">
        <v>335</v>
      </c>
    </row>
    <row r="118" spans="1:10" ht="12.75" customHeight="1" x14ac:dyDescent="0.2">
      <c r="A118" s="229" t="s">
        <v>336</v>
      </c>
      <c r="B118" s="197"/>
      <c r="C118" s="197"/>
      <c r="D118" s="197"/>
      <c r="E118" s="197"/>
      <c r="F118" s="197"/>
      <c r="G118" s="197"/>
      <c r="H118" s="200"/>
      <c r="I118" s="155" t="s">
        <v>286</v>
      </c>
      <c r="J118" s="156">
        <f>SUM(J30+J71+J80+J106+J114)</f>
        <v>5058.50875</v>
      </c>
    </row>
    <row r="119" spans="1:10" ht="15.75" customHeight="1" x14ac:dyDescent="0.2">
      <c r="A119" s="157" t="s">
        <v>185</v>
      </c>
      <c r="B119" s="257" t="s">
        <v>337</v>
      </c>
      <c r="C119" s="197"/>
      <c r="D119" s="197"/>
      <c r="E119" s="197"/>
      <c r="F119" s="197"/>
      <c r="G119" s="197"/>
      <c r="H119" s="200"/>
      <c r="I119" s="122">
        <v>0.03</v>
      </c>
      <c r="J119" s="130">
        <f>ROUND(I119*J118,2)</f>
        <v>151.76</v>
      </c>
    </row>
    <row r="120" spans="1:10" ht="12.75" customHeight="1" x14ac:dyDescent="0.2">
      <c r="A120" s="229" t="s">
        <v>338</v>
      </c>
      <c r="B120" s="197"/>
      <c r="C120" s="197"/>
      <c r="D120" s="197"/>
      <c r="E120" s="197"/>
      <c r="F120" s="197"/>
      <c r="G120" s="197"/>
      <c r="H120" s="200"/>
      <c r="I120" s="158" t="s">
        <v>286</v>
      </c>
      <c r="J120" s="156">
        <f>SUM(J30+J71+J80+J106+J114+J119)</f>
        <v>5210.2687500000002</v>
      </c>
    </row>
    <row r="121" spans="1:10" ht="15.75" customHeight="1" x14ac:dyDescent="0.2">
      <c r="A121" s="157" t="s">
        <v>187</v>
      </c>
      <c r="B121" s="257" t="s">
        <v>339</v>
      </c>
      <c r="C121" s="197"/>
      <c r="D121" s="197"/>
      <c r="E121" s="197"/>
      <c r="F121" s="197"/>
      <c r="G121" s="197"/>
      <c r="H121" s="200"/>
      <c r="I121" s="122">
        <v>6.7900000000000002E-2</v>
      </c>
      <c r="J121" s="130">
        <f>ROUND(I121*J120,2)</f>
        <v>353.78</v>
      </c>
    </row>
    <row r="122" spans="1:10" ht="12.75" customHeight="1" x14ac:dyDescent="0.2">
      <c r="A122" s="229" t="s">
        <v>340</v>
      </c>
      <c r="B122" s="197"/>
      <c r="C122" s="197"/>
      <c r="D122" s="197"/>
      <c r="E122" s="197"/>
      <c r="F122" s="197"/>
      <c r="G122" s="197"/>
      <c r="H122" s="200"/>
      <c r="I122" s="158" t="s">
        <v>286</v>
      </c>
      <c r="J122" s="156">
        <f>SUM(J30+J71+J80+J106+J114+J119+J121)</f>
        <v>5564.0487499999999</v>
      </c>
    </row>
    <row r="123" spans="1:10" ht="15.75" customHeight="1" x14ac:dyDescent="0.2">
      <c r="A123" s="157" t="s">
        <v>190</v>
      </c>
      <c r="B123" s="257" t="s">
        <v>341</v>
      </c>
      <c r="C123" s="197"/>
      <c r="D123" s="197"/>
      <c r="E123" s="197"/>
      <c r="F123" s="197"/>
      <c r="G123" s="197"/>
      <c r="H123" s="200"/>
      <c r="I123" s="122" t="s">
        <v>286</v>
      </c>
      <c r="J123" s="137" t="s">
        <v>286</v>
      </c>
    </row>
    <row r="124" spans="1:10" ht="12.75" customHeight="1" x14ac:dyDescent="0.2">
      <c r="A124" s="121"/>
      <c r="B124" s="231" t="s">
        <v>342</v>
      </c>
      <c r="C124" s="197"/>
      <c r="D124" s="197"/>
      <c r="E124" s="197"/>
      <c r="F124" s="197"/>
      <c r="G124" s="197"/>
      <c r="H124" s="200"/>
      <c r="I124" s="122" t="s">
        <v>286</v>
      </c>
      <c r="J124" s="137" t="s">
        <v>286</v>
      </c>
    </row>
    <row r="125" spans="1:10" ht="12.75" customHeight="1" x14ac:dyDescent="0.2">
      <c r="A125" s="121"/>
      <c r="B125" s="231" t="s">
        <v>343</v>
      </c>
      <c r="C125" s="197"/>
      <c r="D125" s="197"/>
      <c r="E125" s="197"/>
      <c r="F125" s="197"/>
      <c r="G125" s="197"/>
      <c r="H125" s="200"/>
      <c r="I125" s="159">
        <v>7.5999999999999998E-2</v>
      </c>
      <c r="J125" s="130">
        <f t="shared" ref="J125:J126" si="3">ROUND(($J$122/(1-$I$134))*I125,2)</f>
        <v>479.17</v>
      </c>
    </row>
    <row r="126" spans="1:10" ht="12.75" customHeight="1" x14ac:dyDescent="0.2">
      <c r="A126" s="121"/>
      <c r="B126" s="231" t="s">
        <v>344</v>
      </c>
      <c r="C126" s="197"/>
      <c r="D126" s="197"/>
      <c r="E126" s="197"/>
      <c r="F126" s="197"/>
      <c r="G126" s="197"/>
      <c r="H126" s="200"/>
      <c r="I126" s="159">
        <v>1.6500000000000001E-2</v>
      </c>
      <c r="J126" s="130">
        <f t="shared" si="3"/>
        <v>104.03</v>
      </c>
    </row>
    <row r="127" spans="1:10" ht="27" customHeight="1" x14ac:dyDescent="0.2">
      <c r="A127" s="121"/>
      <c r="B127" s="213" t="s">
        <v>345</v>
      </c>
      <c r="C127" s="197"/>
      <c r="D127" s="197"/>
      <c r="E127" s="197"/>
      <c r="F127" s="197"/>
      <c r="G127" s="197"/>
      <c r="H127" s="200"/>
      <c r="I127" s="159" t="s">
        <v>286</v>
      </c>
      <c r="J127" s="137" t="s">
        <v>286</v>
      </c>
    </row>
    <row r="128" spans="1:10" ht="27" customHeight="1" x14ac:dyDescent="0.2">
      <c r="A128" s="121"/>
      <c r="B128" s="213" t="s">
        <v>346</v>
      </c>
      <c r="C128" s="197"/>
      <c r="D128" s="197"/>
      <c r="E128" s="197"/>
      <c r="F128" s="197"/>
      <c r="G128" s="197"/>
      <c r="H128" s="200"/>
      <c r="I128" s="159" t="s">
        <v>286</v>
      </c>
      <c r="J128" s="137" t="s">
        <v>286</v>
      </c>
    </row>
    <row r="129" spans="1:10" ht="12.75" customHeight="1" x14ac:dyDescent="0.2">
      <c r="A129" s="121"/>
      <c r="B129" s="231" t="s">
        <v>347</v>
      </c>
      <c r="C129" s="197"/>
      <c r="D129" s="197"/>
      <c r="E129" s="197"/>
      <c r="F129" s="197"/>
      <c r="G129" s="197"/>
      <c r="H129" s="200"/>
      <c r="I129" s="159" t="s">
        <v>286</v>
      </c>
      <c r="J129" s="137" t="s">
        <v>286</v>
      </c>
    </row>
    <row r="130" spans="1:10" ht="12.75" customHeight="1" x14ac:dyDescent="0.2">
      <c r="A130" s="121"/>
      <c r="B130" s="231" t="s">
        <v>348</v>
      </c>
      <c r="C130" s="197"/>
      <c r="D130" s="197"/>
      <c r="E130" s="197"/>
      <c r="F130" s="197"/>
      <c r="G130" s="197"/>
      <c r="H130" s="200"/>
      <c r="I130" s="159" t="s">
        <v>286</v>
      </c>
      <c r="J130" s="137" t="s">
        <v>286</v>
      </c>
    </row>
    <row r="131" spans="1:10" ht="12.75" customHeight="1" x14ac:dyDescent="0.2">
      <c r="A131" s="121"/>
      <c r="B131" s="231" t="s">
        <v>349</v>
      </c>
      <c r="C131" s="197"/>
      <c r="D131" s="197"/>
      <c r="E131" s="197"/>
      <c r="F131" s="197"/>
      <c r="G131" s="197"/>
      <c r="H131" s="200"/>
      <c r="I131" s="159">
        <v>2.5000000000000001E-2</v>
      </c>
      <c r="J131" s="130">
        <f>ROUND(($J$122/(1-$I$134))*I131,2)</f>
        <v>157.62</v>
      </c>
    </row>
    <row r="132" spans="1:10" ht="12.75" customHeight="1" x14ac:dyDescent="0.2">
      <c r="A132" s="232" t="s">
        <v>261</v>
      </c>
      <c r="B132" s="197"/>
      <c r="C132" s="197"/>
      <c r="D132" s="197"/>
      <c r="E132" s="197"/>
      <c r="F132" s="197"/>
      <c r="G132" s="197"/>
      <c r="H132" s="197"/>
      <c r="I132" s="200"/>
      <c r="J132" s="127">
        <f>SUM(J119+J121+J125+J126+J131)</f>
        <v>1246.3600000000001</v>
      </c>
    </row>
    <row r="133" spans="1:10" ht="12.75" customHeight="1" x14ac:dyDescent="0.2">
      <c r="A133" s="225"/>
      <c r="B133" s="197"/>
      <c r="C133" s="197"/>
      <c r="D133" s="197"/>
      <c r="E133" s="197"/>
      <c r="F133" s="197"/>
      <c r="G133" s="197"/>
      <c r="H133" s="197"/>
      <c r="I133" s="197"/>
      <c r="J133" s="200"/>
    </row>
    <row r="134" spans="1:10" ht="14.25" customHeight="1" x14ac:dyDescent="0.2">
      <c r="A134" s="259" t="s">
        <v>350</v>
      </c>
      <c r="B134" s="197"/>
      <c r="C134" s="197"/>
      <c r="D134" s="197"/>
      <c r="E134" s="197"/>
      <c r="F134" s="197"/>
      <c r="G134" s="197"/>
      <c r="H134" s="200"/>
      <c r="I134" s="160">
        <f t="shared" ref="I134:J134" si="4">SUM(I125:I131)</f>
        <v>0.11749999999999999</v>
      </c>
      <c r="J134" s="156">
        <f t="shared" si="4"/>
        <v>740.82</v>
      </c>
    </row>
    <row r="135" spans="1:10" ht="12.75" customHeight="1" x14ac:dyDescent="0.2">
      <c r="A135" s="260" t="s">
        <v>351</v>
      </c>
      <c r="B135" s="203"/>
      <c r="C135" s="261"/>
      <c r="D135" s="258" t="s">
        <v>352</v>
      </c>
      <c r="E135" s="197"/>
      <c r="F135" s="197"/>
      <c r="G135" s="197"/>
      <c r="H135" s="197"/>
      <c r="I135" s="197"/>
      <c r="J135" s="200"/>
    </row>
    <row r="136" spans="1:10" ht="12.75" customHeight="1" x14ac:dyDescent="0.2">
      <c r="A136" s="262"/>
      <c r="B136" s="178"/>
      <c r="C136" s="216"/>
      <c r="D136" s="258" t="s">
        <v>353</v>
      </c>
      <c r="E136" s="197"/>
      <c r="F136" s="197"/>
      <c r="G136" s="197"/>
      <c r="H136" s="197"/>
      <c r="I136" s="197"/>
      <c r="J136" s="200"/>
    </row>
    <row r="137" spans="1:10" ht="12.75" customHeight="1" x14ac:dyDescent="0.2">
      <c r="A137" s="263"/>
      <c r="B137" s="209"/>
      <c r="C137" s="210"/>
      <c r="D137" s="258" t="s">
        <v>354</v>
      </c>
      <c r="E137" s="197"/>
      <c r="F137" s="197"/>
      <c r="G137" s="197"/>
      <c r="H137" s="197"/>
      <c r="I137" s="197"/>
      <c r="J137" s="200"/>
    </row>
    <row r="138" spans="1:10" ht="12.75" customHeight="1" x14ac:dyDescent="0.2">
      <c r="A138" s="225"/>
      <c r="B138" s="197"/>
      <c r="C138" s="197"/>
      <c r="D138" s="197"/>
      <c r="E138" s="197"/>
      <c r="F138" s="197"/>
      <c r="G138" s="197"/>
      <c r="H138" s="197"/>
      <c r="I138" s="197"/>
      <c r="J138" s="200"/>
    </row>
    <row r="139" spans="1:10" ht="45.75" customHeight="1" x14ac:dyDescent="0.2">
      <c r="A139" s="264" t="s">
        <v>355</v>
      </c>
      <c r="B139" s="197"/>
      <c r="C139" s="197"/>
      <c r="D139" s="197"/>
      <c r="E139" s="197"/>
      <c r="F139" s="197"/>
      <c r="G139" s="197"/>
      <c r="H139" s="197"/>
      <c r="I139" s="197"/>
      <c r="J139" s="200"/>
    </row>
    <row r="140" spans="1:10" ht="14.25" customHeight="1" x14ac:dyDescent="0.2">
      <c r="A140" s="265" t="s">
        <v>356</v>
      </c>
      <c r="B140" s="197"/>
      <c r="C140" s="197"/>
      <c r="D140" s="197"/>
      <c r="E140" s="197"/>
      <c r="F140" s="197"/>
      <c r="G140" s="197"/>
      <c r="H140" s="197"/>
      <c r="I140" s="200"/>
      <c r="J140" s="161" t="s">
        <v>258</v>
      </c>
    </row>
    <row r="141" spans="1:10" ht="14.25" customHeight="1" x14ac:dyDescent="0.2">
      <c r="A141" s="162" t="s">
        <v>185</v>
      </c>
      <c r="B141" s="253" t="s">
        <v>357</v>
      </c>
      <c r="C141" s="197"/>
      <c r="D141" s="197"/>
      <c r="E141" s="197"/>
      <c r="F141" s="197"/>
      <c r="G141" s="197"/>
      <c r="H141" s="197"/>
      <c r="I141" s="200"/>
      <c r="J141" s="152">
        <f>J30</f>
        <v>1780.21</v>
      </c>
    </row>
    <row r="142" spans="1:10" ht="14.25" customHeight="1" x14ac:dyDescent="0.2">
      <c r="A142" s="162" t="s">
        <v>187</v>
      </c>
      <c r="B142" s="253" t="s">
        <v>254</v>
      </c>
      <c r="C142" s="197"/>
      <c r="D142" s="197"/>
      <c r="E142" s="197"/>
      <c r="F142" s="197"/>
      <c r="G142" s="197"/>
      <c r="H142" s="197"/>
      <c r="I142" s="200"/>
      <c r="J142" s="152">
        <f>J71</f>
        <v>1121.9099999999999</v>
      </c>
    </row>
    <row r="143" spans="1:10" ht="14.25" customHeight="1" x14ac:dyDescent="0.2">
      <c r="A143" s="162" t="s">
        <v>190</v>
      </c>
      <c r="B143" s="253" t="s">
        <v>358</v>
      </c>
      <c r="C143" s="197"/>
      <c r="D143" s="197"/>
      <c r="E143" s="197"/>
      <c r="F143" s="197"/>
      <c r="G143" s="197"/>
      <c r="H143" s="197"/>
      <c r="I143" s="200"/>
      <c r="J143" s="152">
        <f>J80</f>
        <v>90.32</v>
      </c>
    </row>
    <row r="144" spans="1:10" ht="14.25" customHeight="1" x14ac:dyDescent="0.2">
      <c r="A144" s="162" t="s">
        <v>192</v>
      </c>
      <c r="B144" s="253" t="s">
        <v>359</v>
      </c>
      <c r="C144" s="197"/>
      <c r="D144" s="197"/>
      <c r="E144" s="197"/>
      <c r="F144" s="197"/>
      <c r="G144" s="197"/>
      <c r="H144" s="197"/>
      <c r="I144" s="200"/>
      <c r="J144" s="152">
        <f>J106</f>
        <v>283.56</v>
      </c>
    </row>
    <row r="145" spans="1:10" ht="14.25" customHeight="1" x14ac:dyDescent="0.2">
      <c r="A145" s="162" t="s">
        <v>250</v>
      </c>
      <c r="B145" s="253" t="s">
        <v>360</v>
      </c>
      <c r="C145" s="197"/>
      <c r="D145" s="197"/>
      <c r="E145" s="197"/>
      <c r="F145" s="197"/>
      <c r="G145" s="197"/>
      <c r="H145" s="197"/>
      <c r="I145" s="200"/>
      <c r="J145" s="152">
        <f>J114</f>
        <v>1782.5087500000002</v>
      </c>
    </row>
    <row r="146" spans="1:10" ht="14.25" customHeight="1" x14ac:dyDescent="0.2">
      <c r="A146" s="254" t="s">
        <v>361</v>
      </c>
      <c r="B146" s="197"/>
      <c r="C146" s="197"/>
      <c r="D146" s="197"/>
      <c r="E146" s="197"/>
      <c r="F146" s="197"/>
      <c r="G146" s="197"/>
      <c r="H146" s="197"/>
      <c r="I146" s="200"/>
      <c r="J146" s="153">
        <f>SUM(J141:J145)</f>
        <v>5058.50875</v>
      </c>
    </row>
    <row r="147" spans="1:10" ht="14.25" customHeight="1" x14ac:dyDescent="0.2">
      <c r="A147" s="162" t="s">
        <v>275</v>
      </c>
      <c r="B147" s="253" t="s">
        <v>362</v>
      </c>
      <c r="C147" s="197"/>
      <c r="D147" s="197"/>
      <c r="E147" s="197"/>
      <c r="F147" s="197"/>
      <c r="G147" s="197"/>
      <c r="H147" s="197"/>
      <c r="I147" s="200"/>
      <c r="J147" s="152">
        <f>J132</f>
        <v>1246.3600000000001</v>
      </c>
    </row>
    <row r="148" spans="1:10" ht="14.25" customHeight="1" x14ac:dyDescent="0.2">
      <c r="A148" s="254" t="s">
        <v>363</v>
      </c>
      <c r="B148" s="197"/>
      <c r="C148" s="197"/>
      <c r="D148" s="197"/>
      <c r="E148" s="197"/>
      <c r="F148" s="197"/>
      <c r="G148" s="197"/>
      <c r="H148" s="197"/>
      <c r="I148" s="200"/>
      <c r="J148" s="153">
        <f>SUM(J146:J147)</f>
        <v>6304.8687499999996</v>
      </c>
    </row>
    <row r="149" spans="1:10" ht="12.75" customHeight="1" x14ac:dyDescent="0.2">
      <c r="A149" s="225"/>
      <c r="B149" s="197"/>
      <c r="C149" s="197"/>
      <c r="D149" s="197"/>
      <c r="E149" s="197"/>
      <c r="F149" s="197"/>
      <c r="G149" s="197"/>
      <c r="H149" s="197"/>
      <c r="I149" s="197"/>
      <c r="J149" s="200"/>
    </row>
    <row r="150" spans="1:10" ht="12.75" customHeight="1" x14ac:dyDescent="0.2">
      <c r="A150" s="255" t="s">
        <v>364</v>
      </c>
      <c r="B150" s="203"/>
      <c r="C150" s="203"/>
      <c r="D150" s="203"/>
      <c r="E150" s="203"/>
      <c r="F150" s="203"/>
      <c r="G150" s="203"/>
      <c r="H150" s="203"/>
      <c r="I150" s="203"/>
      <c r="J150" s="203"/>
    </row>
    <row r="151" spans="1:10" ht="12.75" customHeight="1" x14ac:dyDescent="0.2">
      <c r="A151" s="249" t="s">
        <v>365</v>
      </c>
      <c r="B151" s="197"/>
      <c r="C151" s="197"/>
      <c r="D151" s="197"/>
      <c r="E151" s="197"/>
      <c r="F151" s="197"/>
      <c r="G151" s="200"/>
      <c r="H151" s="249" t="s">
        <v>366</v>
      </c>
      <c r="I151" s="197"/>
      <c r="J151" s="200"/>
    </row>
    <row r="152" spans="1:10" ht="12.75" customHeight="1" x14ac:dyDescent="0.2">
      <c r="A152" s="250" t="s">
        <v>156</v>
      </c>
      <c r="B152" s="203"/>
      <c r="C152" s="203"/>
      <c r="D152" s="203"/>
      <c r="E152" s="203"/>
      <c r="F152" s="203"/>
      <c r="G152" s="203"/>
      <c r="H152" s="251">
        <v>1</v>
      </c>
      <c r="I152" s="203"/>
      <c r="J152" s="203"/>
    </row>
    <row r="153" spans="1:10" ht="12.75" customHeight="1" x14ac:dyDescent="0.2">
      <c r="A153" s="252"/>
      <c r="B153" s="197"/>
      <c r="C153" s="197"/>
      <c r="D153" s="197"/>
      <c r="E153" s="197"/>
      <c r="F153" s="197"/>
      <c r="G153" s="197"/>
      <c r="H153" s="197"/>
      <c r="I153" s="197"/>
      <c r="J153" s="200"/>
    </row>
    <row r="154" spans="1:10" ht="12.75" customHeight="1" x14ac:dyDescent="0.2"/>
    <row r="155" spans="1:10" ht="12.75" customHeight="1" x14ac:dyDescent="0.2"/>
    <row r="156" spans="1:10" ht="12.75" customHeight="1" x14ac:dyDescent="0.2"/>
    <row r="157" spans="1:10" ht="12.75" customHeight="1" x14ac:dyDescent="0.2"/>
    <row r="158" spans="1:10" ht="12.75" customHeight="1" x14ac:dyDescent="0.2"/>
    <row r="159" spans="1:10" ht="12.75" customHeight="1" x14ac:dyDescent="0.2"/>
    <row r="160" spans="1:1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68">
    <mergeCell ref="A139:J139"/>
    <mergeCell ref="A140:I140"/>
    <mergeCell ref="B141:I141"/>
    <mergeCell ref="B142:I142"/>
    <mergeCell ref="B143:I143"/>
    <mergeCell ref="B129:H129"/>
    <mergeCell ref="B130:H130"/>
    <mergeCell ref="B131:H131"/>
    <mergeCell ref="A132:I132"/>
    <mergeCell ref="A133:J133"/>
    <mergeCell ref="A134:H134"/>
    <mergeCell ref="A135:C137"/>
    <mergeCell ref="D137:J137"/>
    <mergeCell ref="A138:J138"/>
    <mergeCell ref="A153:J153"/>
    <mergeCell ref="B144:I144"/>
    <mergeCell ref="B145:I145"/>
    <mergeCell ref="A146:I146"/>
    <mergeCell ref="B147:I147"/>
    <mergeCell ref="A148:I148"/>
    <mergeCell ref="A149:J149"/>
    <mergeCell ref="A150:J150"/>
    <mergeCell ref="A101:J101"/>
    <mergeCell ref="A102:J102"/>
    <mergeCell ref="B103:I103"/>
    <mergeCell ref="B104:I104"/>
    <mergeCell ref="B105:I105"/>
    <mergeCell ref="A106:I106"/>
    <mergeCell ref="A107:J107"/>
    <mergeCell ref="A108:J108"/>
    <mergeCell ref="B109:I109"/>
    <mergeCell ref="B110:I110"/>
    <mergeCell ref="B111:I111"/>
    <mergeCell ref="B112:I112"/>
    <mergeCell ref="B113:I113"/>
    <mergeCell ref="A114:I114"/>
    <mergeCell ref="A115:J115"/>
    <mergeCell ref="A116:J116"/>
    <mergeCell ref="A95:J95"/>
    <mergeCell ref="B96:I96"/>
    <mergeCell ref="B97:I97"/>
    <mergeCell ref="A98:I98"/>
    <mergeCell ref="B99:I99"/>
    <mergeCell ref="A100:I100"/>
    <mergeCell ref="A151:G151"/>
    <mergeCell ref="H151:J151"/>
    <mergeCell ref="A152:G152"/>
    <mergeCell ref="H152:J152"/>
    <mergeCell ref="B117:H117"/>
    <mergeCell ref="A118:H118"/>
    <mergeCell ref="B119:H119"/>
    <mergeCell ref="A120:H120"/>
    <mergeCell ref="B121:H121"/>
    <mergeCell ref="A122:H122"/>
    <mergeCell ref="B123:H123"/>
    <mergeCell ref="B124:H124"/>
    <mergeCell ref="B125:H125"/>
    <mergeCell ref="B126:H126"/>
    <mergeCell ref="B127:H127"/>
    <mergeCell ref="B128:H128"/>
    <mergeCell ref="D135:J135"/>
    <mergeCell ref="D136:J136"/>
    <mergeCell ref="B86:H86"/>
    <mergeCell ref="B87:I87"/>
    <mergeCell ref="B88:I88"/>
    <mergeCell ref="B89:I89"/>
    <mergeCell ref="B90:I90"/>
    <mergeCell ref="B91:I91"/>
    <mergeCell ref="A92:I92"/>
    <mergeCell ref="B93:I93"/>
    <mergeCell ref="A94:I94"/>
    <mergeCell ref="B77:I77"/>
    <mergeCell ref="B78:I78"/>
    <mergeCell ref="B79:H79"/>
    <mergeCell ref="A80:I80"/>
    <mergeCell ref="A81:J81"/>
    <mergeCell ref="A82:J82"/>
    <mergeCell ref="A83:I83"/>
    <mergeCell ref="A84:J84"/>
    <mergeCell ref="B85:I85"/>
    <mergeCell ref="C68:I68"/>
    <mergeCell ref="C69:I69"/>
    <mergeCell ref="C70:I70"/>
    <mergeCell ref="A71:I71"/>
    <mergeCell ref="A72:J72"/>
    <mergeCell ref="A73:J73"/>
    <mergeCell ref="B74:I74"/>
    <mergeCell ref="B75:I75"/>
    <mergeCell ref="B76:I76"/>
    <mergeCell ref="B59:H59"/>
    <mergeCell ref="B60:I60"/>
    <mergeCell ref="B61:H61"/>
    <mergeCell ref="B62:H62"/>
    <mergeCell ref="B63:I63"/>
    <mergeCell ref="A64:I64"/>
    <mergeCell ref="A65:J65"/>
    <mergeCell ref="A66:J66"/>
    <mergeCell ref="B67:I67"/>
    <mergeCell ref="B50:H50"/>
    <mergeCell ref="A51:H51"/>
    <mergeCell ref="A52:J52"/>
    <mergeCell ref="A53:J53"/>
    <mergeCell ref="B54:I54"/>
    <mergeCell ref="B55:I55"/>
    <mergeCell ref="B56:H56"/>
    <mergeCell ref="B57:H57"/>
    <mergeCell ref="B58:H58"/>
    <mergeCell ref="B27:I27"/>
    <mergeCell ref="B28:I28"/>
    <mergeCell ref="B29:H29"/>
    <mergeCell ref="A30:I30"/>
    <mergeCell ref="B45:D45"/>
    <mergeCell ref="B46:H46"/>
    <mergeCell ref="B47:H47"/>
    <mergeCell ref="B48:H48"/>
    <mergeCell ref="B49:H49"/>
    <mergeCell ref="B20:G20"/>
    <mergeCell ref="H20:J20"/>
    <mergeCell ref="A21:J21"/>
    <mergeCell ref="A22:J22"/>
    <mergeCell ref="B23:G23"/>
    <mergeCell ref="H23:I23"/>
    <mergeCell ref="B24:I24"/>
    <mergeCell ref="B25:H25"/>
    <mergeCell ref="B26:I26"/>
    <mergeCell ref="A14:J14"/>
    <mergeCell ref="A15:J15"/>
    <mergeCell ref="B16:G16"/>
    <mergeCell ref="H16:J16"/>
    <mergeCell ref="B17:G17"/>
    <mergeCell ref="H17:J17"/>
    <mergeCell ref="B18:G18"/>
    <mergeCell ref="H18:J18"/>
    <mergeCell ref="H19:J19"/>
    <mergeCell ref="B19:G19"/>
    <mergeCell ref="A40:J40"/>
    <mergeCell ref="A41:J41"/>
    <mergeCell ref="B42:H42"/>
    <mergeCell ref="B43:H43"/>
    <mergeCell ref="B44:H44"/>
    <mergeCell ref="A1:J1"/>
    <mergeCell ref="A2:J2"/>
    <mergeCell ref="A3:J3"/>
    <mergeCell ref="A4:G4"/>
    <mergeCell ref="H4:J4"/>
    <mergeCell ref="A5:G5"/>
    <mergeCell ref="H5:J5"/>
    <mergeCell ref="A6:J6"/>
    <mergeCell ref="A7:J7"/>
    <mergeCell ref="B8:G8"/>
    <mergeCell ref="H8:J8"/>
    <mergeCell ref="B9:G9"/>
    <mergeCell ref="H9:J9"/>
    <mergeCell ref="H10:J10"/>
    <mergeCell ref="B10:G10"/>
    <mergeCell ref="B11:G11"/>
    <mergeCell ref="H11:J11"/>
    <mergeCell ref="A12:J12"/>
    <mergeCell ref="A13:J13"/>
    <mergeCell ref="A31:J31"/>
    <mergeCell ref="A32:J32"/>
    <mergeCell ref="A33:J33"/>
    <mergeCell ref="B34:I34"/>
    <mergeCell ref="B35:H35"/>
    <mergeCell ref="B36:H36"/>
    <mergeCell ref="A37:I37"/>
    <mergeCell ref="B38:I38"/>
    <mergeCell ref="A39:I39"/>
  </mergeCells>
  <pageMargins left="0.7" right="0.7" top="0.75" bottom="0.75" header="0" footer="0"/>
  <pageSetup orientation="portrait"/>
  <headerFooter>
    <oddHeader>&amp;C&amp;A</oddHeader>
    <oddFooter>&amp;CPágina &amp;P</oddFooter>
  </headerFooter>
  <colBreaks count="2" manualBreakCount="2">
    <brk man="1"/>
    <brk id="10"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C00"/>
  </sheetPr>
  <dimension ref="A1:K1000"/>
  <sheetViews>
    <sheetView workbookViewId="0">
      <selection sqref="A1:J1"/>
    </sheetView>
  </sheetViews>
  <sheetFormatPr defaultColWidth="12.5703125" defaultRowHeight="15" customHeight="1" x14ac:dyDescent="0.2"/>
  <cols>
    <col min="1" max="10" width="11.5703125" customWidth="1"/>
    <col min="11" max="11" width="10.42578125" customWidth="1"/>
    <col min="12" max="26" width="8" customWidth="1"/>
  </cols>
  <sheetData>
    <row r="1" spans="1:10" ht="23.25" customHeight="1" x14ac:dyDescent="0.2">
      <c r="A1" s="234" t="s">
        <v>223</v>
      </c>
      <c r="B1" s="197"/>
      <c r="C1" s="197"/>
      <c r="D1" s="197"/>
      <c r="E1" s="197"/>
      <c r="F1" s="197"/>
      <c r="G1" s="197"/>
      <c r="H1" s="197"/>
      <c r="I1" s="197"/>
      <c r="J1" s="200"/>
    </row>
    <row r="2" spans="1:10" ht="24" customHeight="1" x14ac:dyDescent="0.2">
      <c r="A2" s="235" t="s">
        <v>367</v>
      </c>
      <c r="B2" s="197"/>
      <c r="C2" s="197"/>
      <c r="D2" s="197"/>
      <c r="E2" s="197"/>
      <c r="F2" s="197"/>
      <c r="G2" s="197"/>
      <c r="H2" s="197"/>
      <c r="I2" s="197"/>
      <c r="J2" s="200"/>
    </row>
    <row r="3" spans="1:10" ht="46.5" customHeight="1" x14ac:dyDescent="0.2">
      <c r="A3" s="236" t="s">
        <v>368</v>
      </c>
      <c r="B3" s="197"/>
      <c r="C3" s="197"/>
      <c r="D3" s="197"/>
      <c r="E3" s="197"/>
      <c r="F3" s="197"/>
      <c r="G3" s="197"/>
      <c r="H3" s="197"/>
      <c r="I3" s="197"/>
      <c r="J3" s="200"/>
    </row>
    <row r="4" spans="1:10" ht="14.25" customHeight="1" x14ac:dyDescent="0.2">
      <c r="A4" s="213" t="s">
        <v>180</v>
      </c>
      <c r="B4" s="197"/>
      <c r="C4" s="197"/>
      <c r="D4" s="197"/>
      <c r="E4" s="197"/>
      <c r="F4" s="197"/>
      <c r="G4" s="200"/>
      <c r="H4" s="201" t="s">
        <v>226</v>
      </c>
      <c r="I4" s="197"/>
      <c r="J4" s="200"/>
    </row>
    <row r="5" spans="1:10" ht="14.25" customHeight="1" x14ac:dyDescent="0.2">
      <c r="A5" s="213" t="s">
        <v>182</v>
      </c>
      <c r="B5" s="197"/>
      <c r="C5" s="197"/>
      <c r="D5" s="197"/>
      <c r="E5" s="197"/>
      <c r="F5" s="197"/>
      <c r="G5" s="200"/>
      <c r="H5" s="201"/>
      <c r="I5" s="197"/>
      <c r="J5" s="200"/>
    </row>
    <row r="6" spans="1:10" ht="14.25" customHeight="1" x14ac:dyDescent="0.2">
      <c r="A6" s="213" t="s">
        <v>183</v>
      </c>
      <c r="B6" s="197"/>
      <c r="C6" s="197"/>
      <c r="D6" s="197"/>
      <c r="E6" s="197"/>
      <c r="F6" s="197"/>
      <c r="G6" s="197"/>
      <c r="H6" s="197"/>
      <c r="I6" s="197"/>
      <c r="J6" s="200"/>
    </row>
    <row r="7" spans="1:10" ht="15.75" customHeight="1" x14ac:dyDescent="0.2">
      <c r="A7" s="237" t="s">
        <v>184</v>
      </c>
      <c r="B7" s="197"/>
      <c r="C7" s="197"/>
      <c r="D7" s="197"/>
      <c r="E7" s="197"/>
      <c r="F7" s="197"/>
      <c r="G7" s="197"/>
      <c r="H7" s="197"/>
      <c r="I7" s="197"/>
      <c r="J7" s="200"/>
    </row>
    <row r="8" spans="1:10" ht="14.25" customHeight="1" x14ac:dyDescent="0.2">
      <c r="A8" s="87" t="s">
        <v>185</v>
      </c>
      <c r="B8" s="213" t="s">
        <v>186</v>
      </c>
      <c r="C8" s="197"/>
      <c r="D8" s="197"/>
      <c r="E8" s="197"/>
      <c r="F8" s="197"/>
      <c r="G8" s="200"/>
      <c r="H8" s="214"/>
      <c r="I8" s="197"/>
      <c r="J8" s="200"/>
    </row>
    <row r="9" spans="1:10" ht="14.25" customHeight="1" x14ac:dyDescent="0.2">
      <c r="A9" s="87" t="s">
        <v>187</v>
      </c>
      <c r="B9" s="213" t="s">
        <v>227</v>
      </c>
      <c r="C9" s="197"/>
      <c r="D9" s="197"/>
      <c r="E9" s="197"/>
      <c r="F9" s="197"/>
      <c r="G9" s="200"/>
      <c r="H9" s="201" t="s">
        <v>228</v>
      </c>
      <c r="I9" s="197"/>
      <c r="J9" s="200"/>
    </row>
    <row r="10" spans="1:10" ht="39" customHeight="1" x14ac:dyDescent="0.2">
      <c r="A10" s="87" t="s">
        <v>190</v>
      </c>
      <c r="B10" s="213" t="s">
        <v>229</v>
      </c>
      <c r="C10" s="197"/>
      <c r="D10" s="197"/>
      <c r="E10" s="197"/>
      <c r="F10" s="197"/>
      <c r="G10" s="200"/>
      <c r="H10" s="238" t="s">
        <v>369</v>
      </c>
      <c r="I10" s="197"/>
      <c r="J10" s="200"/>
    </row>
    <row r="11" spans="1:10" ht="12.75" customHeight="1" x14ac:dyDescent="0.2">
      <c r="A11" s="87" t="s">
        <v>192</v>
      </c>
      <c r="B11" s="213" t="s">
        <v>370</v>
      </c>
      <c r="C11" s="197"/>
      <c r="D11" s="197"/>
      <c r="E11" s="197"/>
      <c r="F11" s="197"/>
      <c r="G11" s="200"/>
      <c r="H11" s="201">
        <v>60</v>
      </c>
      <c r="I11" s="197"/>
      <c r="J11" s="200"/>
    </row>
    <row r="12" spans="1:10" ht="12.75" customHeight="1" x14ac:dyDescent="0.2">
      <c r="A12" s="225"/>
      <c r="B12" s="197"/>
      <c r="C12" s="197"/>
      <c r="D12" s="197"/>
      <c r="E12" s="197"/>
      <c r="F12" s="197"/>
      <c r="G12" s="197"/>
      <c r="H12" s="197"/>
      <c r="I12" s="197"/>
      <c r="J12" s="200"/>
    </row>
    <row r="13" spans="1:10" ht="48.75" customHeight="1" x14ac:dyDescent="0.2">
      <c r="A13" s="239" t="s">
        <v>371</v>
      </c>
      <c r="B13" s="197"/>
      <c r="C13" s="197"/>
      <c r="D13" s="197"/>
      <c r="E13" s="197"/>
      <c r="F13" s="197"/>
      <c r="G13" s="197"/>
      <c r="H13" s="197"/>
      <c r="I13" s="197"/>
      <c r="J13" s="200"/>
    </row>
    <row r="14" spans="1:10" ht="12.75" customHeight="1" x14ac:dyDescent="0.2">
      <c r="A14" s="225"/>
      <c r="B14" s="197"/>
      <c r="C14" s="197"/>
      <c r="D14" s="197"/>
      <c r="E14" s="197"/>
      <c r="F14" s="197"/>
      <c r="G14" s="197"/>
      <c r="H14" s="197"/>
      <c r="I14" s="197"/>
      <c r="J14" s="200"/>
    </row>
    <row r="15" spans="1:10" ht="15.75" customHeight="1" x14ac:dyDescent="0.2">
      <c r="A15" s="240" t="s">
        <v>233</v>
      </c>
      <c r="B15" s="197"/>
      <c r="C15" s="197"/>
      <c r="D15" s="197"/>
      <c r="E15" s="197"/>
      <c r="F15" s="197"/>
      <c r="G15" s="197"/>
      <c r="H15" s="197"/>
      <c r="I15" s="197"/>
      <c r="J15" s="200"/>
    </row>
    <row r="16" spans="1:10" ht="15.75" customHeight="1" x14ac:dyDescent="0.2">
      <c r="A16" s="87">
        <v>1</v>
      </c>
      <c r="B16" s="213" t="s">
        <v>234</v>
      </c>
      <c r="C16" s="197"/>
      <c r="D16" s="197"/>
      <c r="E16" s="197"/>
      <c r="F16" s="197"/>
      <c r="G16" s="200"/>
      <c r="H16" s="241" t="s">
        <v>235</v>
      </c>
      <c r="I16" s="197"/>
      <c r="J16" s="200"/>
    </row>
    <row r="17" spans="1:11" ht="15.75" customHeight="1" x14ac:dyDescent="0.2">
      <c r="A17" s="87">
        <v>2</v>
      </c>
      <c r="B17" s="213" t="s">
        <v>236</v>
      </c>
      <c r="C17" s="197"/>
      <c r="D17" s="197"/>
      <c r="E17" s="197"/>
      <c r="F17" s="197"/>
      <c r="G17" s="200"/>
      <c r="H17" s="241" t="s">
        <v>372</v>
      </c>
      <c r="I17" s="197"/>
      <c r="J17" s="200"/>
    </row>
    <row r="18" spans="1:11" ht="15.75" customHeight="1" x14ac:dyDescent="0.2">
      <c r="A18" s="87">
        <v>3</v>
      </c>
      <c r="B18" s="213" t="s">
        <v>238</v>
      </c>
      <c r="C18" s="197"/>
      <c r="D18" s="197"/>
      <c r="E18" s="197"/>
      <c r="F18" s="197"/>
      <c r="G18" s="200"/>
      <c r="H18" s="242">
        <v>1540.51</v>
      </c>
      <c r="I18" s="197"/>
      <c r="J18" s="200"/>
    </row>
    <row r="19" spans="1:11" ht="15.75" customHeight="1" x14ac:dyDescent="0.2">
      <c r="A19" s="87">
        <v>4</v>
      </c>
      <c r="B19" s="213" t="s">
        <v>239</v>
      </c>
      <c r="C19" s="197"/>
      <c r="D19" s="197"/>
      <c r="E19" s="197"/>
      <c r="F19" s="197"/>
      <c r="G19" s="200"/>
      <c r="H19" s="241" t="s">
        <v>161</v>
      </c>
      <c r="I19" s="197"/>
      <c r="J19" s="200"/>
    </row>
    <row r="20" spans="1:11" ht="15.75" customHeight="1" x14ac:dyDescent="0.2">
      <c r="A20" s="87">
        <v>5</v>
      </c>
      <c r="B20" s="213" t="s">
        <v>240</v>
      </c>
      <c r="C20" s="197"/>
      <c r="D20" s="197"/>
      <c r="E20" s="197"/>
      <c r="F20" s="197"/>
      <c r="G20" s="200"/>
      <c r="H20" s="241" t="s">
        <v>373</v>
      </c>
      <c r="I20" s="197"/>
      <c r="J20" s="200"/>
    </row>
    <row r="21" spans="1:11" ht="12.75" customHeight="1" x14ac:dyDescent="0.2">
      <c r="A21" s="225"/>
      <c r="B21" s="197"/>
      <c r="C21" s="197"/>
      <c r="D21" s="197"/>
      <c r="E21" s="197"/>
      <c r="F21" s="197"/>
      <c r="G21" s="197"/>
      <c r="H21" s="197"/>
      <c r="I21" s="197"/>
      <c r="J21" s="200"/>
    </row>
    <row r="22" spans="1:11" ht="20.25" customHeight="1" x14ac:dyDescent="0.2">
      <c r="A22" s="239" t="s">
        <v>242</v>
      </c>
      <c r="B22" s="197"/>
      <c r="C22" s="197"/>
      <c r="D22" s="197"/>
      <c r="E22" s="197"/>
      <c r="F22" s="197"/>
      <c r="G22" s="197"/>
      <c r="H22" s="197"/>
      <c r="I22" s="197"/>
      <c r="J22" s="200"/>
    </row>
    <row r="23" spans="1:11" ht="30" customHeight="1" x14ac:dyDescent="0.2">
      <c r="A23" s="113">
        <v>1</v>
      </c>
      <c r="B23" s="240" t="s">
        <v>243</v>
      </c>
      <c r="C23" s="197"/>
      <c r="D23" s="197"/>
      <c r="E23" s="197"/>
      <c r="F23" s="197"/>
      <c r="G23" s="200"/>
      <c r="H23" s="240" t="s">
        <v>244</v>
      </c>
      <c r="I23" s="200"/>
      <c r="J23" s="113" t="s">
        <v>245</v>
      </c>
    </row>
    <row r="24" spans="1:11" ht="12.75" customHeight="1" x14ac:dyDescent="0.2">
      <c r="A24" s="87" t="s">
        <v>185</v>
      </c>
      <c r="B24" s="213" t="s">
        <v>374</v>
      </c>
      <c r="C24" s="197"/>
      <c r="D24" s="197"/>
      <c r="E24" s="197"/>
      <c r="F24" s="197"/>
      <c r="G24" s="197"/>
      <c r="H24" s="197"/>
      <c r="I24" s="200"/>
      <c r="J24" s="114">
        <f>ROUND(((25/6)*30)*(H18/220),2)</f>
        <v>875.29</v>
      </c>
      <c r="K24" s="163"/>
    </row>
    <row r="25" spans="1:11" ht="12.75" customHeight="1" x14ac:dyDescent="0.2">
      <c r="A25" s="115" t="s">
        <v>187</v>
      </c>
      <c r="B25" s="213" t="s">
        <v>247</v>
      </c>
      <c r="C25" s="197"/>
      <c r="D25" s="197"/>
      <c r="E25" s="197"/>
      <c r="F25" s="197"/>
      <c r="G25" s="197"/>
      <c r="H25" s="200"/>
      <c r="I25" s="116">
        <v>0</v>
      </c>
      <c r="J25" s="114">
        <f>ROUND(I25*J24,2)</f>
        <v>0</v>
      </c>
    </row>
    <row r="26" spans="1:11" ht="12.75" customHeight="1" x14ac:dyDescent="0.2">
      <c r="A26" s="115" t="s">
        <v>190</v>
      </c>
      <c r="B26" s="213" t="s">
        <v>248</v>
      </c>
      <c r="C26" s="197"/>
      <c r="D26" s="197"/>
      <c r="E26" s="197"/>
      <c r="F26" s="197"/>
      <c r="G26" s="197"/>
      <c r="H26" s="197"/>
      <c r="I26" s="200"/>
      <c r="J26" s="114"/>
    </row>
    <row r="27" spans="1:11" ht="12.75" customHeight="1" x14ac:dyDescent="0.2">
      <c r="A27" s="115" t="s">
        <v>192</v>
      </c>
      <c r="B27" s="213" t="s">
        <v>249</v>
      </c>
      <c r="C27" s="197"/>
      <c r="D27" s="197"/>
      <c r="E27" s="197"/>
      <c r="F27" s="197"/>
      <c r="G27" s="197"/>
      <c r="H27" s="197"/>
      <c r="I27" s="200"/>
      <c r="J27" s="114"/>
    </row>
    <row r="28" spans="1:11" ht="12.75" customHeight="1" x14ac:dyDescent="0.2">
      <c r="A28" s="115" t="s">
        <v>250</v>
      </c>
      <c r="B28" s="213" t="s">
        <v>251</v>
      </c>
      <c r="C28" s="197"/>
      <c r="D28" s="197"/>
      <c r="E28" s="197"/>
      <c r="F28" s="197"/>
      <c r="G28" s="197"/>
      <c r="H28" s="197"/>
      <c r="I28" s="200"/>
      <c r="J28" s="114"/>
    </row>
    <row r="29" spans="1:11" ht="12.75" customHeight="1" x14ac:dyDescent="0.2">
      <c r="A29" s="87" t="s">
        <v>187</v>
      </c>
      <c r="B29" s="213" t="s">
        <v>252</v>
      </c>
      <c r="C29" s="197"/>
      <c r="D29" s="197"/>
      <c r="E29" s="197"/>
      <c r="F29" s="197"/>
      <c r="G29" s="197"/>
      <c r="H29" s="200"/>
      <c r="I29" s="117">
        <v>0</v>
      </c>
      <c r="J29" s="114">
        <f>ROUND(I29*J24,2)</f>
        <v>0</v>
      </c>
    </row>
    <row r="30" spans="1:11" ht="15.75" customHeight="1" x14ac:dyDescent="0.2">
      <c r="A30" s="243" t="s">
        <v>253</v>
      </c>
      <c r="B30" s="197"/>
      <c r="C30" s="197"/>
      <c r="D30" s="197"/>
      <c r="E30" s="197"/>
      <c r="F30" s="197"/>
      <c r="G30" s="197"/>
      <c r="H30" s="197"/>
      <c r="I30" s="200"/>
      <c r="J30" s="118">
        <f>SUM(J24:J29)</f>
        <v>875.29</v>
      </c>
    </row>
    <row r="31" spans="1:11" ht="12.75" customHeight="1" x14ac:dyDescent="0.2">
      <c r="A31" s="225"/>
      <c r="B31" s="197"/>
      <c r="C31" s="197"/>
      <c r="D31" s="197"/>
      <c r="E31" s="197"/>
      <c r="F31" s="197"/>
      <c r="G31" s="197"/>
      <c r="H31" s="197"/>
      <c r="I31" s="197"/>
      <c r="J31" s="200"/>
    </row>
    <row r="32" spans="1:11" ht="15.75" customHeight="1" x14ac:dyDescent="0.2">
      <c r="A32" s="226" t="s">
        <v>254</v>
      </c>
      <c r="B32" s="197"/>
      <c r="C32" s="197"/>
      <c r="D32" s="197"/>
      <c r="E32" s="197"/>
      <c r="F32" s="197"/>
      <c r="G32" s="197"/>
      <c r="H32" s="197"/>
      <c r="I32" s="197"/>
      <c r="J32" s="200"/>
    </row>
    <row r="33" spans="1:10" ht="15" customHeight="1" x14ac:dyDescent="0.2">
      <c r="A33" s="227" t="s">
        <v>375</v>
      </c>
      <c r="B33" s="197"/>
      <c r="C33" s="197"/>
      <c r="D33" s="197"/>
      <c r="E33" s="197"/>
      <c r="F33" s="197"/>
      <c r="G33" s="197"/>
      <c r="H33" s="197"/>
      <c r="I33" s="197"/>
      <c r="J33" s="200"/>
    </row>
    <row r="34" spans="1:10" ht="15" customHeight="1" x14ac:dyDescent="0.2">
      <c r="A34" s="119" t="s">
        <v>256</v>
      </c>
      <c r="B34" s="228" t="s">
        <v>376</v>
      </c>
      <c r="C34" s="197"/>
      <c r="D34" s="197"/>
      <c r="E34" s="197"/>
      <c r="F34" s="197"/>
      <c r="G34" s="197"/>
      <c r="H34" s="197"/>
      <c r="I34" s="200"/>
      <c r="J34" s="120" t="s">
        <v>258</v>
      </c>
    </row>
    <row r="35" spans="1:10" ht="27" customHeight="1" x14ac:dyDescent="0.2">
      <c r="A35" s="121" t="s">
        <v>185</v>
      </c>
      <c r="B35" s="213" t="s">
        <v>377</v>
      </c>
      <c r="C35" s="197"/>
      <c r="D35" s="197"/>
      <c r="E35" s="197"/>
      <c r="F35" s="197"/>
      <c r="G35" s="197"/>
      <c r="H35" s="200"/>
      <c r="I35" s="122">
        <v>8.3299999999999999E-2</v>
      </c>
      <c r="J35" s="123">
        <f t="shared" ref="J35:J36" si="0">ROUND($J$30*I35,2)</f>
        <v>72.91</v>
      </c>
    </row>
    <row r="36" spans="1:10" ht="36" customHeight="1" x14ac:dyDescent="0.2">
      <c r="A36" s="121" t="s">
        <v>187</v>
      </c>
      <c r="B36" s="229" t="s">
        <v>378</v>
      </c>
      <c r="C36" s="197"/>
      <c r="D36" s="197"/>
      <c r="E36" s="197"/>
      <c r="F36" s="197"/>
      <c r="G36" s="197"/>
      <c r="H36" s="200"/>
      <c r="I36" s="124">
        <v>3.0249999999999999E-2</v>
      </c>
      <c r="J36" s="123">
        <f t="shared" si="0"/>
        <v>26.48</v>
      </c>
    </row>
    <row r="37" spans="1:10" ht="12.75" customHeight="1" x14ac:dyDescent="0.2">
      <c r="A37" s="230" t="s">
        <v>261</v>
      </c>
      <c r="B37" s="197"/>
      <c r="C37" s="197"/>
      <c r="D37" s="197"/>
      <c r="E37" s="197"/>
      <c r="F37" s="197"/>
      <c r="G37" s="197"/>
      <c r="H37" s="197"/>
      <c r="I37" s="200"/>
      <c r="J37" s="123">
        <f>SUM(J35+J36)</f>
        <v>99.39</v>
      </c>
    </row>
    <row r="38" spans="1:10" ht="12.75" customHeight="1" x14ac:dyDescent="0.2">
      <c r="A38" s="125" t="s">
        <v>190</v>
      </c>
      <c r="B38" s="231" t="s">
        <v>262</v>
      </c>
      <c r="C38" s="197"/>
      <c r="D38" s="197"/>
      <c r="E38" s="197"/>
      <c r="F38" s="197"/>
      <c r="G38" s="197"/>
      <c r="H38" s="197"/>
      <c r="I38" s="200"/>
      <c r="J38" s="126">
        <f>ROUND(I51*J37,2)</f>
        <v>36.58</v>
      </c>
    </row>
    <row r="39" spans="1:10" ht="12.75" customHeight="1" x14ac:dyDescent="0.2">
      <c r="A39" s="232" t="s">
        <v>261</v>
      </c>
      <c r="B39" s="197"/>
      <c r="C39" s="197"/>
      <c r="D39" s="197"/>
      <c r="E39" s="197"/>
      <c r="F39" s="197"/>
      <c r="G39" s="197"/>
      <c r="H39" s="197"/>
      <c r="I39" s="200"/>
      <c r="J39" s="127">
        <f>J37+J38</f>
        <v>135.97</v>
      </c>
    </row>
    <row r="40" spans="1:10" ht="12.75" customHeight="1" x14ac:dyDescent="0.2">
      <c r="A40" s="225"/>
      <c r="B40" s="197"/>
      <c r="C40" s="197"/>
      <c r="D40" s="197"/>
      <c r="E40" s="197"/>
      <c r="F40" s="197"/>
      <c r="G40" s="197"/>
      <c r="H40" s="197"/>
      <c r="I40" s="197"/>
      <c r="J40" s="200"/>
    </row>
    <row r="41" spans="1:10" ht="30" customHeight="1" x14ac:dyDescent="0.2">
      <c r="A41" s="226" t="s">
        <v>263</v>
      </c>
      <c r="B41" s="197"/>
      <c r="C41" s="197"/>
      <c r="D41" s="197"/>
      <c r="E41" s="197"/>
      <c r="F41" s="197"/>
      <c r="G41" s="197"/>
      <c r="H41" s="197"/>
      <c r="I41" s="197"/>
      <c r="J41" s="200"/>
    </row>
    <row r="42" spans="1:10" ht="30" customHeight="1" x14ac:dyDescent="0.2">
      <c r="A42" s="128" t="s">
        <v>264</v>
      </c>
      <c r="B42" s="233" t="s">
        <v>265</v>
      </c>
      <c r="C42" s="197"/>
      <c r="D42" s="197"/>
      <c r="E42" s="197"/>
      <c r="F42" s="197"/>
      <c r="G42" s="197"/>
      <c r="H42" s="200"/>
      <c r="I42" s="113" t="s">
        <v>266</v>
      </c>
      <c r="J42" s="113" t="s">
        <v>267</v>
      </c>
    </row>
    <row r="43" spans="1:10" ht="12.75" customHeight="1" x14ac:dyDescent="0.2">
      <c r="A43" s="121" t="s">
        <v>185</v>
      </c>
      <c r="B43" s="231" t="s">
        <v>268</v>
      </c>
      <c r="C43" s="197"/>
      <c r="D43" s="197"/>
      <c r="E43" s="197"/>
      <c r="F43" s="197"/>
      <c r="G43" s="197"/>
      <c r="H43" s="200"/>
      <c r="I43" s="129">
        <v>0.2</v>
      </c>
      <c r="J43" s="130">
        <f t="shared" ref="J43:J50" si="1">ROUND($J$30*I43,2)</f>
        <v>175.06</v>
      </c>
    </row>
    <row r="44" spans="1:10" ht="12.75" customHeight="1" x14ac:dyDescent="0.2">
      <c r="A44" s="121" t="s">
        <v>187</v>
      </c>
      <c r="B44" s="231" t="s">
        <v>269</v>
      </c>
      <c r="C44" s="197"/>
      <c r="D44" s="197"/>
      <c r="E44" s="197"/>
      <c r="F44" s="197"/>
      <c r="G44" s="197"/>
      <c r="H44" s="200"/>
      <c r="I44" s="129">
        <v>2.5000000000000001E-2</v>
      </c>
      <c r="J44" s="130">
        <f t="shared" si="1"/>
        <v>21.88</v>
      </c>
    </row>
    <row r="45" spans="1:10" ht="12.75" customHeight="1" x14ac:dyDescent="0.2">
      <c r="A45" s="121" t="s">
        <v>190</v>
      </c>
      <c r="B45" s="231" t="s">
        <v>270</v>
      </c>
      <c r="C45" s="197"/>
      <c r="D45" s="200"/>
      <c r="E45" s="131" t="s">
        <v>271</v>
      </c>
      <c r="F45" s="132">
        <v>0.03</v>
      </c>
      <c r="G45" s="131" t="s">
        <v>272</v>
      </c>
      <c r="H45" s="133">
        <v>1</v>
      </c>
      <c r="I45" s="134">
        <f>ROUND((F45*H45),6)</f>
        <v>0.03</v>
      </c>
      <c r="J45" s="130">
        <f t="shared" si="1"/>
        <v>26.26</v>
      </c>
    </row>
    <row r="46" spans="1:10" ht="12.75" customHeight="1" x14ac:dyDescent="0.2">
      <c r="A46" s="121" t="s">
        <v>192</v>
      </c>
      <c r="B46" s="231" t="s">
        <v>273</v>
      </c>
      <c r="C46" s="197"/>
      <c r="D46" s="197"/>
      <c r="E46" s="197"/>
      <c r="F46" s="197"/>
      <c r="G46" s="197"/>
      <c r="H46" s="200"/>
      <c r="I46" s="129">
        <v>1.4999999999999999E-2</v>
      </c>
      <c r="J46" s="130">
        <f t="shared" si="1"/>
        <v>13.13</v>
      </c>
    </row>
    <row r="47" spans="1:10" ht="12.75" customHeight="1" x14ac:dyDescent="0.2">
      <c r="A47" s="121" t="s">
        <v>250</v>
      </c>
      <c r="B47" s="231" t="s">
        <v>274</v>
      </c>
      <c r="C47" s="197"/>
      <c r="D47" s="197"/>
      <c r="E47" s="197"/>
      <c r="F47" s="197"/>
      <c r="G47" s="197"/>
      <c r="H47" s="200"/>
      <c r="I47" s="129">
        <v>0.01</v>
      </c>
      <c r="J47" s="130">
        <f t="shared" si="1"/>
        <v>8.75</v>
      </c>
    </row>
    <row r="48" spans="1:10" ht="12.75" customHeight="1" x14ac:dyDescent="0.2">
      <c r="A48" s="121" t="s">
        <v>275</v>
      </c>
      <c r="B48" s="231" t="s">
        <v>276</v>
      </c>
      <c r="C48" s="197"/>
      <c r="D48" s="197"/>
      <c r="E48" s="197"/>
      <c r="F48" s="197"/>
      <c r="G48" s="197"/>
      <c r="H48" s="200"/>
      <c r="I48" s="129">
        <v>6.0000000000000001E-3</v>
      </c>
      <c r="J48" s="130">
        <f t="shared" si="1"/>
        <v>5.25</v>
      </c>
    </row>
    <row r="49" spans="1:11" ht="12.75" customHeight="1" x14ac:dyDescent="0.2">
      <c r="A49" s="121" t="s">
        <v>277</v>
      </c>
      <c r="B49" s="231" t="s">
        <v>278</v>
      </c>
      <c r="C49" s="197"/>
      <c r="D49" s="197"/>
      <c r="E49" s="197"/>
      <c r="F49" s="197"/>
      <c r="G49" s="197"/>
      <c r="H49" s="200"/>
      <c r="I49" s="129">
        <v>2E-3</v>
      </c>
      <c r="J49" s="130">
        <f t="shared" si="1"/>
        <v>1.75</v>
      </c>
    </row>
    <row r="50" spans="1:11" ht="12.75" customHeight="1" x14ac:dyDescent="0.2">
      <c r="A50" s="121" t="s">
        <v>279</v>
      </c>
      <c r="B50" s="231" t="s">
        <v>280</v>
      </c>
      <c r="C50" s="197"/>
      <c r="D50" s="197"/>
      <c r="E50" s="197"/>
      <c r="F50" s="197"/>
      <c r="G50" s="197"/>
      <c r="H50" s="200"/>
      <c r="I50" s="129">
        <v>0.08</v>
      </c>
      <c r="J50" s="130">
        <f t="shared" si="1"/>
        <v>70.02</v>
      </c>
    </row>
    <row r="51" spans="1:11" ht="12.75" customHeight="1" x14ac:dyDescent="0.2">
      <c r="A51" s="232" t="s">
        <v>261</v>
      </c>
      <c r="B51" s="197"/>
      <c r="C51" s="197"/>
      <c r="D51" s="197"/>
      <c r="E51" s="197"/>
      <c r="F51" s="197"/>
      <c r="G51" s="197"/>
      <c r="H51" s="200"/>
      <c r="I51" s="135">
        <f t="shared" ref="I51:J51" si="2">SUM(I43:I50)</f>
        <v>0.36800000000000005</v>
      </c>
      <c r="J51" s="127">
        <f t="shared" si="2"/>
        <v>322.09999999999997</v>
      </c>
    </row>
    <row r="52" spans="1:11" ht="12.75" customHeight="1" x14ac:dyDescent="0.2">
      <c r="A52" s="225"/>
      <c r="B52" s="197"/>
      <c r="C52" s="197"/>
      <c r="D52" s="197"/>
      <c r="E52" s="197"/>
      <c r="F52" s="197"/>
      <c r="G52" s="197"/>
      <c r="H52" s="197"/>
      <c r="I52" s="197"/>
      <c r="J52" s="200"/>
    </row>
    <row r="53" spans="1:11" ht="15.75" customHeight="1" x14ac:dyDescent="0.2">
      <c r="A53" s="226" t="s">
        <v>281</v>
      </c>
      <c r="B53" s="197"/>
      <c r="C53" s="197"/>
      <c r="D53" s="197"/>
      <c r="E53" s="197"/>
      <c r="F53" s="197"/>
      <c r="G53" s="197"/>
      <c r="H53" s="197"/>
      <c r="I53" s="197"/>
      <c r="J53" s="200"/>
    </row>
    <row r="54" spans="1:11" ht="15.75" customHeight="1" x14ac:dyDescent="0.2">
      <c r="A54" s="128" t="s">
        <v>282</v>
      </c>
      <c r="B54" s="233" t="s">
        <v>283</v>
      </c>
      <c r="C54" s="197"/>
      <c r="D54" s="197"/>
      <c r="E54" s="197"/>
      <c r="F54" s="197"/>
      <c r="G54" s="197"/>
      <c r="H54" s="197"/>
      <c r="I54" s="200"/>
      <c r="J54" s="113" t="s">
        <v>258</v>
      </c>
    </row>
    <row r="55" spans="1:11" ht="12.75" customHeight="1" x14ac:dyDescent="0.2">
      <c r="A55" s="121" t="s">
        <v>185</v>
      </c>
      <c r="B55" s="231" t="s">
        <v>379</v>
      </c>
      <c r="C55" s="197"/>
      <c r="D55" s="197"/>
      <c r="E55" s="197"/>
      <c r="F55" s="197"/>
      <c r="G55" s="197"/>
      <c r="H55" s="197"/>
      <c r="I55" s="200"/>
      <c r="J55" s="130">
        <f>IF(ROUND((I58*I56*I57)-(J24*I59),2)&lt;0,0,ROUND((I58*I56*I57)-(J24*I59),2))</f>
        <v>200.48</v>
      </c>
    </row>
    <row r="56" spans="1:11" ht="12.75" customHeight="1" x14ac:dyDescent="0.2">
      <c r="A56" s="121"/>
      <c r="B56" s="244" t="s">
        <v>285</v>
      </c>
      <c r="C56" s="197"/>
      <c r="D56" s="197"/>
      <c r="E56" s="197"/>
      <c r="F56" s="197"/>
      <c r="G56" s="197"/>
      <c r="H56" s="200"/>
      <c r="I56" s="136">
        <v>5.75</v>
      </c>
      <c r="J56" s="137" t="s">
        <v>286</v>
      </c>
    </row>
    <row r="57" spans="1:11" ht="12.75" customHeight="1" x14ac:dyDescent="0.2">
      <c r="A57" s="121"/>
      <c r="B57" s="244" t="s">
        <v>287</v>
      </c>
      <c r="C57" s="197"/>
      <c r="D57" s="197"/>
      <c r="E57" s="197"/>
      <c r="F57" s="197"/>
      <c r="G57" s="197"/>
      <c r="H57" s="200"/>
      <c r="I57" s="138">
        <v>2</v>
      </c>
      <c r="J57" s="137"/>
    </row>
    <row r="58" spans="1:11" ht="12.75" customHeight="1" x14ac:dyDescent="0.2">
      <c r="A58" s="121"/>
      <c r="B58" s="244" t="s">
        <v>288</v>
      </c>
      <c r="C58" s="197"/>
      <c r="D58" s="197"/>
      <c r="E58" s="197"/>
      <c r="F58" s="197"/>
      <c r="G58" s="197"/>
      <c r="H58" s="200"/>
      <c r="I58" s="139">
        <v>22</v>
      </c>
      <c r="J58" s="137"/>
    </row>
    <row r="59" spans="1:11" ht="12.75" customHeight="1" x14ac:dyDescent="0.2">
      <c r="A59" s="121"/>
      <c r="B59" s="244" t="s">
        <v>380</v>
      </c>
      <c r="C59" s="197"/>
      <c r="D59" s="197"/>
      <c r="E59" s="197"/>
      <c r="F59" s="197"/>
      <c r="G59" s="197"/>
      <c r="H59" s="200"/>
      <c r="I59" s="140">
        <v>0.06</v>
      </c>
      <c r="J59" s="137"/>
    </row>
    <row r="60" spans="1:11" ht="12.75" customHeight="1" x14ac:dyDescent="0.2">
      <c r="A60" s="121" t="s">
        <v>187</v>
      </c>
      <c r="B60" s="231" t="s">
        <v>381</v>
      </c>
      <c r="C60" s="197"/>
      <c r="D60" s="197"/>
      <c r="E60" s="197"/>
      <c r="F60" s="197"/>
      <c r="G60" s="197"/>
      <c r="H60" s="197"/>
      <c r="I60" s="200"/>
      <c r="J60" s="130">
        <f>ROUND(I62*I61*(1-I63),2)</f>
        <v>210.99</v>
      </c>
      <c r="K60" s="163"/>
    </row>
    <row r="61" spans="1:11" ht="12.75" customHeight="1" x14ac:dyDescent="0.2">
      <c r="A61" s="121"/>
      <c r="B61" s="244" t="s">
        <v>382</v>
      </c>
      <c r="C61" s="197"/>
      <c r="D61" s="197"/>
      <c r="E61" s="197"/>
      <c r="F61" s="197"/>
      <c r="G61" s="197"/>
      <c r="H61" s="200"/>
      <c r="I61" s="136">
        <v>11.84</v>
      </c>
      <c r="J61" s="137" t="s">
        <v>286</v>
      </c>
    </row>
    <row r="62" spans="1:11" ht="12.75" customHeight="1" x14ac:dyDescent="0.2">
      <c r="A62" s="141"/>
      <c r="B62" s="244" t="s">
        <v>383</v>
      </c>
      <c r="C62" s="197"/>
      <c r="D62" s="197"/>
      <c r="E62" s="197"/>
      <c r="F62" s="197"/>
      <c r="G62" s="197"/>
      <c r="H62" s="200"/>
      <c r="I62" s="139">
        <v>22</v>
      </c>
      <c r="J62" s="137"/>
    </row>
    <row r="63" spans="1:11" ht="12.75" customHeight="1" x14ac:dyDescent="0.2">
      <c r="A63" s="141"/>
      <c r="B63" s="244" t="s">
        <v>383</v>
      </c>
      <c r="C63" s="197"/>
      <c r="D63" s="197"/>
      <c r="E63" s="197"/>
      <c r="F63" s="197"/>
      <c r="G63" s="197"/>
      <c r="H63" s="200"/>
      <c r="I63" s="142">
        <v>0.19</v>
      </c>
      <c r="J63" s="137"/>
    </row>
    <row r="64" spans="1:11" ht="12.75" customHeight="1" x14ac:dyDescent="0.2">
      <c r="A64" s="121" t="s">
        <v>190</v>
      </c>
      <c r="B64" s="213" t="s">
        <v>293</v>
      </c>
      <c r="C64" s="197"/>
      <c r="D64" s="197"/>
      <c r="E64" s="197"/>
      <c r="F64" s="197"/>
      <c r="G64" s="197"/>
      <c r="H64" s="197"/>
      <c r="I64" s="200"/>
      <c r="J64" s="130">
        <v>0</v>
      </c>
    </row>
    <row r="65" spans="1:10" ht="12.75" customHeight="1" x14ac:dyDescent="0.2">
      <c r="A65" s="121" t="s">
        <v>192</v>
      </c>
      <c r="B65" s="213" t="s">
        <v>384</v>
      </c>
      <c r="C65" s="197"/>
      <c r="D65" s="197"/>
      <c r="E65" s="197"/>
      <c r="F65" s="197"/>
      <c r="G65" s="197"/>
      <c r="H65" s="197"/>
      <c r="I65" s="200"/>
      <c r="J65" s="152">
        <v>19.420000000000002</v>
      </c>
    </row>
    <row r="66" spans="1:10" ht="12.75" customHeight="1" x14ac:dyDescent="0.2">
      <c r="A66" s="232" t="s">
        <v>253</v>
      </c>
      <c r="B66" s="197"/>
      <c r="C66" s="197"/>
      <c r="D66" s="197"/>
      <c r="E66" s="197"/>
      <c r="F66" s="197"/>
      <c r="G66" s="197"/>
      <c r="H66" s="197"/>
      <c r="I66" s="200"/>
      <c r="J66" s="127">
        <f>SUM(J55:J65)</f>
        <v>430.89000000000004</v>
      </c>
    </row>
    <row r="67" spans="1:10" ht="12.75" customHeight="1" x14ac:dyDescent="0.2">
      <c r="A67" s="225"/>
      <c r="B67" s="197"/>
      <c r="C67" s="197"/>
      <c r="D67" s="197"/>
      <c r="E67" s="197"/>
      <c r="F67" s="197"/>
      <c r="G67" s="197"/>
      <c r="H67" s="197"/>
      <c r="I67" s="197"/>
      <c r="J67" s="200"/>
    </row>
    <row r="68" spans="1:10" ht="15.75" customHeight="1" x14ac:dyDescent="0.2">
      <c r="A68" s="226" t="s">
        <v>294</v>
      </c>
      <c r="B68" s="197"/>
      <c r="C68" s="197"/>
      <c r="D68" s="197"/>
      <c r="E68" s="197"/>
      <c r="F68" s="197"/>
      <c r="G68" s="197"/>
      <c r="H68" s="197"/>
      <c r="I68" s="197"/>
      <c r="J68" s="200"/>
    </row>
    <row r="69" spans="1:10" ht="15.75" customHeight="1" x14ac:dyDescent="0.2">
      <c r="A69" s="113">
        <v>2</v>
      </c>
      <c r="B69" s="240" t="s">
        <v>295</v>
      </c>
      <c r="C69" s="197"/>
      <c r="D69" s="197"/>
      <c r="E69" s="197"/>
      <c r="F69" s="197"/>
      <c r="G69" s="197"/>
      <c r="H69" s="197"/>
      <c r="I69" s="200"/>
      <c r="J69" s="113" t="s">
        <v>258</v>
      </c>
    </row>
    <row r="70" spans="1:10" ht="14.25" customHeight="1" x14ac:dyDescent="0.2">
      <c r="A70" s="87" t="s">
        <v>256</v>
      </c>
      <c r="B70" s="87"/>
      <c r="C70" s="213" t="s">
        <v>385</v>
      </c>
      <c r="D70" s="197"/>
      <c r="E70" s="197"/>
      <c r="F70" s="197"/>
      <c r="G70" s="197"/>
      <c r="H70" s="197"/>
      <c r="I70" s="200"/>
      <c r="J70" s="143">
        <f>J39</f>
        <v>135.97</v>
      </c>
    </row>
    <row r="71" spans="1:10" ht="14.25" customHeight="1" x14ac:dyDescent="0.2">
      <c r="A71" s="87" t="s">
        <v>264</v>
      </c>
      <c r="B71" s="87"/>
      <c r="C71" s="213" t="s">
        <v>265</v>
      </c>
      <c r="D71" s="197"/>
      <c r="E71" s="197"/>
      <c r="F71" s="197"/>
      <c r="G71" s="197"/>
      <c r="H71" s="197"/>
      <c r="I71" s="200"/>
      <c r="J71" s="143">
        <f>J51</f>
        <v>322.09999999999997</v>
      </c>
    </row>
    <row r="72" spans="1:10" ht="14.25" customHeight="1" x14ac:dyDescent="0.2">
      <c r="A72" s="87" t="s">
        <v>282</v>
      </c>
      <c r="B72" s="87"/>
      <c r="C72" s="213" t="s">
        <v>283</v>
      </c>
      <c r="D72" s="197"/>
      <c r="E72" s="197"/>
      <c r="F72" s="197"/>
      <c r="G72" s="197"/>
      <c r="H72" s="197"/>
      <c r="I72" s="200"/>
      <c r="J72" s="143">
        <f>J66</f>
        <v>430.89000000000004</v>
      </c>
    </row>
    <row r="73" spans="1:10" ht="14.25" customHeight="1" x14ac:dyDescent="0.2">
      <c r="A73" s="243" t="s">
        <v>261</v>
      </c>
      <c r="B73" s="197"/>
      <c r="C73" s="197"/>
      <c r="D73" s="197"/>
      <c r="E73" s="197"/>
      <c r="F73" s="197"/>
      <c r="G73" s="197"/>
      <c r="H73" s="197"/>
      <c r="I73" s="200"/>
      <c r="J73" s="144">
        <f>SUM(J70+J71+J72)</f>
        <v>888.96</v>
      </c>
    </row>
    <row r="74" spans="1:10" ht="12.75" customHeight="1" x14ac:dyDescent="0.2">
      <c r="A74" s="225"/>
      <c r="B74" s="197"/>
      <c r="C74" s="197"/>
      <c r="D74" s="197"/>
      <c r="E74" s="197"/>
      <c r="F74" s="197"/>
      <c r="G74" s="197"/>
      <c r="H74" s="197"/>
      <c r="I74" s="197"/>
      <c r="J74" s="200"/>
    </row>
    <row r="75" spans="1:10" ht="15.75" customHeight="1" x14ac:dyDescent="0.2">
      <c r="A75" s="226" t="s">
        <v>297</v>
      </c>
      <c r="B75" s="197"/>
      <c r="C75" s="197"/>
      <c r="D75" s="197"/>
      <c r="E75" s="197"/>
      <c r="F75" s="197"/>
      <c r="G75" s="197"/>
      <c r="H75" s="197"/>
      <c r="I75" s="197"/>
      <c r="J75" s="200"/>
    </row>
    <row r="76" spans="1:10" ht="15.75" customHeight="1" x14ac:dyDescent="0.2">
      <c r="A76" s="128">
        <v>3</v>
      </c>
      <c r="B76" s="240" t="s">
        <v>298</v>
      </c>
      <c r="C76" s="197"/>
      <c r="D76" s="197"/>
      <c r="E76" s="197"/>
      <c r="F76" s="197"/>
      <c r="G76" s="197"/>
      <c r="H76" s="197"/>
      <c r="I76" s="200"/>
      <c r="J76" s="128" t="s">
        <v>299</v>
      </c>
    </row>
    <row r="77" spans="1:10" ht="46.5" customHeight="1" x14ac:dyDescent="0.2">
      <c r="A77" s="121" t="s">
        <v>185</v>
      </c>
      <c r="B77" s="213" t="s">
        <v>386</v>
      </c>
      <c r="C77" s="197"/>
      <c r="D77" s="197"/>
      <c r="E77" s="197"/>
      <c r="F77" s="197"/>
      <c r="G77" s="197"/>
      <c r="H77" s="197"/>
      <c r="I77" s="200"/>
      <c r="J77" s="130">
        <f>ROUND((($J$30/12)+($J$35/12)+($J$30*0.121/12))*(30/30)*0.05,2)</f>
        <v>4.3899999999999997</v>
      </c>
    </row>
    <row r="78" spans="1:10" ht="14.25" customHeight="1" x14ac:dyDescent="0.2">
      <c r="A78" s="121" t="s">
        <v>187</v>
      </c>
      <c r="B78" s="213" t="s">
        <v>301</v>
      </c>
      <c r="C78" s="197"/>
      <c r="D78" s="197"/>
      <c r="E78" s="197"/>
      <c r="F78" s="197"/>
      <c r="G78" s="197"/>
      <c r="H78" s="197"/>
      <c r="I78" s="200"/>
      <c r="J78" s="130">
        <f>ROUND($J$77*I50,2)</f>
        <v>0.35</v>
      </c>
    </row>
    <row r="79" spans="1:10" ht="27" customHeight="1" x14ac:dyDescent="0.2">
      <c r="A79" s="121" t="s">
        <v>190</v>
      </c>
      <c r="B79" s="213" t="s">
        <v>387</v>
      </c>
      <c r="C79" s="197"/>
      <c r="D79" s="197"/>
      <c r="E79" s="197"/>
      <c r="F79" s="197"/>
      <c r="G79" s="197"/>
      <c r="H79" s="197"/>
      <c r="I79" s="200"/>
      <c r="J79" s="130">
        <f>ROUND(((($J$30/30)*7)/$H$11)*1,2)</f>
        <v>3.4</v>
      </c>
    </row>
    <row r="80" spans="1:10" ht="14.25" customHeight="1" x14ac:dyDescent="0.2">
      <c r="A80" s="121" t="s">
        <v>192</v>
      </c>
      <c r="B80" s="213" t="s">
        <v>303</v>
      </c>
      <c r="C80" s="197"/>
      <c r="D80" s="197"/>
      <c r="E80" s="197"/>
      <c r="F80" s="197"/>
      <c r="G80" s="197"/>
      <c r="H80" s="197"/>
      <c r="I80" s="200"/>
      <c r="J80" s="130">
        <f>ROUND($I$51*J79,2)</f>
        <v>1.25</v>
      </c>
    </row>
    <row r="81" spans="1:11" ht="36" customHeight="1" x14ac:dyDescent="0.2">
      <c r="A81" s="121" t="s">
        <v>250</v>
      </c>
      <c r="B81" s="213" t="s">
        <v>388</v>
      </c>
      <c r="C81" s="197"/>
      <c r="D81" s="197"/>
      <c r="E81" s="197"/>
      <c r="F81" s="197"/>
      <c r="G81" s="197"/>
      <c r="H81" s="200"/>
      <c r="I81" s="145">
        <v>0.04</v>
      </c>
      <c r="J81" s="130">
        <f>ROUND($J$30*I81,2)</f>
        <v>35.01</v>
      </c>
    </row>
    <row r="82" spans="1:11" ht="12.75" customHeight="1" x14ac:dyDescent="0.2">
      <c r="A82" s="232" t="s">
        <v>261</v>
      </c>
      <c r="B82" s="197"/>
      <c r="C82" s="197"/>
      <c r="D82" s="197"/>
      <c r="E82" s="197"/>
      <c r="F82" s="197"/>
      <c r="G82" s="197"/>
      <c r="H82" s="197"/>
      <c r="I82" s="200"/>
      <c r="J82" s="127">
        <f>SUM(J77:J81)</f>
        <v>44.4</v>
      </c>
    </row>
    <row r="83" spans="1:11" ht="12.75" customHeight="1" x14ac:dyDescent="0.2">
      <c r="A83" s="225"/>
      <c r="B83" s="197"/>
      <c r="C83" s="197"/>
      <c r="D83" s="197"/>
      <c r="E83" s="197"/>
      <c r="F83" s="197"/>
      <c r="G83" s="197"/>
      <c r="H83" s="197"/>
      <c r="I83" s="197"/>
      <c r="J83" s="200"/>
    </row>
    <row r="84" spans="1:11" ht="15.75" customHeight="1" x14ac:dyDescent="0.2">
      <c r="A84" s="226" t="s">
        <v>305</v>
      </c>
      <c r="B84" s="197"/>
      <c r="C84" s="197"/>
      <c r="D84" s="197"/>
      <c r="E84" s="197"/>
      <c r="F84" s="197"/>
      <c r="G84" s="197"/>
      <c r="H84" s="197"/>
      <c r="I84" s="197"/>
      <c r="J84" s="200"/>
    </row>
    <row r="85" spans="1:11" ht="15" customHeight="1" x14ac:dyDescent="0.2">
      <c r="A85" s="245" t="s">
        <v>306</v>
      </c>
      <c r="B85" s="197"/>
      <c r="C85" s="197"/>
      <c r="D85" s="197"/>
      <c r="E85" s="197"/>
      <c r="F85" s="197"/>
      <c r="G85" s="197"/>
      <c r="H85" s="197"/>
      <c r="I85" s="200"/>
      <c r="J85" s="146">
        <f>J88+J30+J35+J36</f>
        <v>1054.1100000000001</v>
      </c>
    </row>
    <row r="86" spans="1:11" ht="14.25" customHeight="1" x14ac:dyDescent="0.2">
      <c r="A86" s="246"/>
      <c r="B86" s="197"/>
      <c r="C86" s="197"/>
      <c r="D86" s="197"/>
      <c r="E86" s="197"/>
      <c r="F86" s="197"/>
      <c r="G86" s="197"/>
      <c r="H86" s="197"/>
      <c r="I86" s="197"/>
      <c r="J86" s="200"/>
    </row>
    <row r="87" spans="1:11" ht="15" customHeight="1" x14ac:dyDescent="0.25">
      <c r="A87" s="147" t="s">
        <v>307</v>
      </c>
      <c r="B87" s="233" t="s">
        <v>308</v>
      </c>
      <c r="C87" s="197"/>
      <c r="D87" s="197"/>
      <c r="E87" s="197"/>
      <c r="F87" s="197"/>
      <c r="G87" s="197"/>
      <c r="H87" s="197"/>
      <c r="I87" s="200"/>
      <c r="J87" s="147" t="s">
        <v>258</v>
      </c>
    </row>
    <row r="88" spans="1:11" ht="12.75" customHeight="1" x14ac:dyDescent="0.2">
      <c r="A88" s="125" t="s">
        <v>185</v>
      </c>
      <c r="B88" s="213" t="s">
        <v>309</v>
      </c>
      <c r="C88" s="197"/>
      <c r="D88" s="197"/>
      <c r="E88" s="197"/>
      <c r="F88" s="197"/>
      <c r="G88" s="197"/>
      <c r="H88" s="200"/>
      <c r="I88" s="124">
        <v>9.0749999999999997E-2</v>
      </c>
      <c r="J88" s="130">
        <f>ROUND(($J$30*I88),2)</f>
        <v>79.430000000000007</v>
      </c>
    </row>
    <row r="89" spans="1:11" ht="12.75" customHeight="1" x14ac:dyDescent="0.2">
      <c r="A89" s="125" t="s">
        <v>187</v>
      </c>
      <c r="B89" s="231" t="s">
        <v>389</v>
      </c>
      <c r="C89" s="197"/>
      <c r="D89" s="197"/>
      <c r="E89" s="197"/>
      <c r="F89" s="197"/>
      <c r="G89" s="197"/>
      <c r="H89" s="197"/>
      <c r="I89" s="200"/>
      <c r="J89" s="148">
        <f>ROUND((($J$85/30)*2.96)/12,2)</f>
        <v>8.67</v>
      </c>
    </row>
    <row r="90" spans="1:11" ht="12.75" customHeight="1" x14ac:dyDescent="0.2">
      <c r="A90" s="125" t="s">
        <v>190</v>
      </c>
      <c r="B90" s="231" t="s">
        <v>390</v>
      </c>
      <c r="C90" s="197"/>
      <c r="D90" s="197"/>
      <c r="E90" s="197"/>
      <c r="F90" s="197"/>
      <c r="G90" s="197"/>
      <c r="H90" s="197"/>
      <c r="I90" s="200"/>
      <c r="J90" s="148">
        <f>ROUND((($J$85/30)*5)/12*0.015,2)</f>
        <v>0.22</v>
      </c>
    </row>
    <row r="91" spans="1:11" ht="12.75" customHeight="1" x14ac:dyDescent="0.2">
      <c r="A91" s="125" t="s">
        <v>192</v>
      </c>
      <c r="B91" s="231" t="s">
        <v>391</v>
      </c>
      <c r="C91" s="197"/>
      <c r="D91" s="197"/>
      <c r="E91" s="197"/>
      <c r="F91" s="197"/>
      <c r="G91" s="197"/>
      <c r="H91" s="197"/>
      <c r="I91" s="200"/>
      <c r="J91" s="126">
        <f>ROUND(((($J$85/30)*0.97)/12),2)</f>
        <v>2.84</v>
      </c>
    </row>
    <row r="92" spans="1:11" ht="12.75" customHeight="1" x14ac:dyDescent="0.2">
      <c r="A92" s="125" t="s">
        <v>250</v>
      </c>
      <c r="B92" s="213" t="s">
        <v>392</v>
      </c>
      <c r="C92" s="197"/>
      <c r="D92" s="197"/>
      <c r="E92" s="197"/>
      <c r="F92" s="197"/>
      <c r="G92" s="197"/>
      <c r="H92" s="197"/>
      <c r="I92" s="200"/>
      <c r="J92" s="130">
        <f>ROUND(((((J30*0.121)+(I51)*(J30*0.121))*(4/12)))*0.02,2)+ROUND(((I50*J30+I51*J35+J66-J55-J60+J82)*4/12)*0.02,2)</f>
        <v>2.04</v>
      </c>
      <c r="K92" s="164"/>
    </row>
    <row r="93" spans="1:11" ht="12.75" customHeight="1" x14ac:dyDescent="0.2">
      <c r="A93" s="149" t="s">
        <v>275</v>
      </c>
      <c r="B93" s="247" t="s">
        <v>393</v>
      </c>
      <c r="C93" s="197"/>
      <c r="D93" s="197"/>
      <c r="E93" s="197"/>
      <c r="F93" s="197"/>
      <c r="G93" s="197"/>
      <c r="H93" s="197"/>
      <c r="I93" s="200"/>
      <c r="J93" s="126">
        <f>ROUND(((($J$85/30)*3)/12),2)</f>
        <v>8.7799999999999994</v>
      </c>
    </row>
    <row r="94" spans="1:11" ht="12.75" customHeight="1" x14ac:dyDescent="0.2">
      <c r="A94" s="232" t="s">
        <v>261</v>
      </c>
      <c r="B94" s="197"/>
      <c r="C94" s="197"/>
      <c r="D94" s="197"/>
      <c r="E94" s="197"/>
      <c r="F94" s="197"/>
      <c r="G94" s="197"/>
      <c r="H94" s="197"/>
      <c r="I94" s="200"/>
      <c r="J94" s="150">
        <f>SUM(J88:J93)</f>
        <v>101.98000000000002</v>
      </c>
    </row>
    <row r="95" spans="1:11" ht="14.25" customHeight="1" x14ac:dyDescent="0.2">
      <c r="A95" s="125" t="s">
        <v>277</v>
      </c>
      <c r="B95" s="231" t="s">
        <v>315</v>
      </c>
      <c r="C95" s="197"/>
      <c r="D95" s="197"/>
      <c r="E95" s="197"/>
      <c r="F95" s="197"/>
      <c r="G95" s="197"/>
      <c r="H95" s="197"/>
      <c r="I95" s="200"/>
      <c r="J95" s="126">
        <f>ROUND(I51*J94,2)</f>
        <v>37.53</v>
      </c>
    </row>
    <row r="96" spans="1:11" ht="12.75" customHeight="1" x14ac:dyDescent="0.2">
      <c r="A96" s="232" t="s">
        <v>261</v>
      </c>
      <c r="B96" s="197"/>
      <c r="C96" s="197"/>
      <c r="D96" s="197"/>
      <c r="E96" s="197"/>
      <c r="F96" s="197"/>
      <c r="G96" s="197"/>
      <c r="H96" s="197"/>
      <c r="I96" s="200"/>
      <c r="J96" s="127">
        <f>SUM(J94:J95)</f>
        <v>139.51000000000002</v>
      </c>
    </row>
    <row r="97" spans="1:10" ht="15.75" customHeight="1" x14ac:dyDescent="0.2">
      <c r="A97" s="226" t="s">
        <v>316</v>
      </c>
      <c r="B97" s="197"/>
      <c r="C97" s="197"/>
      <c r="D97" s="197"/>
      <c r="E97" s="197"/>
      <c r="F97" s="197"/>
      <c r="G97" s="197"/>
      <c r="H97" s="197"/>
      <c r="I97" s="197"/>
      <c r="J97" s="200"/>
    </row>
    <row r="98" spans="1:10" ht="15" customHeight="1" x14ac:dyDescent="0.2">
      <c r="A98" s="128" t="s">
        <v>317</v>
      </c>
      <c r="B98" s="233" t="s">
        <v>318</v>
      </c>
      <c r="C98" s="197"/>
      <c r="D98" s="197"/>
      <c r="E98" s="197"/>
      <c r="F98" s="197"/>
      <c r="G98" s="197"/>
      <c r="H98" s="197"/>
      <c r="I98" s="200"/>
      <c r="J98" s="151" t="s">
        <v>258</v>
      </c>
    </row>
    <row r="99" spans="1:10" ht="12.75" customHeight="1" x14ac:dyDescent="0.2">
      <c r="A99" s="121" t="s">
        <v>185</v>
      </c>
      <c r="B99" s="231" t="s">
        <v>319</v>
      </c>
      <c r="C99" s="197"/>
      <c r="D99" s="197"/>
      <c r="E99" s="197"/>
      <c r="F99" s="197"/>
      <c r="G99" s="197"/>
      <c r="H99" s="197"/>
      <c r="I99" s="200"/>
      <c r="J99" s="130">
        <v>0</v>
      </c>
    </row>
    <row r="100" spans="1:10" ht="12.75" customHeight="1" x14ac:dyDescent="0.2">
      <c r="A100" s="248" t="s">
        <v>261</v>
      </c>
      <c r="B100" s="197"/>
      <c r="C100" s="197"/>
      <c r="D100" s="197"/>
      <c r="E100" s="197"/>
      <c r="F100" s="197"/>
      <c r="G100" s="197"/>
      <c r="H100" s="197"/>
      <c r="I100" s="200"/>
      <c r="J100" s="130">
        <v>0</v>
      </c>
    </row>
    <row r="101" spans="1:10" ht="12.75" customHeight="1" x14ac:dyDescent="0.2">
      <c r="A101" s="125" t="s">
        <v>187</v>
      </c>
      <c r="B101" s="231" t="s">
        <v>320</v>
      </c>
      <c r="C101" s="197"/>
      <c r="D101" s="197"/>
      <c r="E101" s="197"/>
      <c r="F101" s="197"/>
      <c r="G101" s="197"/>
      <c r="H101" s="197"/>
      <c r="I101" s="200"/>
      <c r="J101" s="126">
        <f>ROUND(I51*J100,2)</f>
        <v>0</v>
      </c>
    </row>
    <row r="102" spans="1:10" ht="12.75" customHeight="1" x14ac:dyDescent="0.2">
      <c r="A102" s="232" t="s">
        <v>261</v>
      </c>
      <c r="B102" s="197"/>
      <c r="C102" s="197"/>
      <c r="D102" s="197"/>
      <c r="E102" s="197"/>
      <c r="F102" s="197"/>
      <c r="G102" s="197"/>
      <c r="H102" s="197"/>
      <c r="I102" s="200"/>
      <c r="J102" s="127">
        <f>SUM(J100:J101)</f>
        <v>0</v>
      </c>
    </row>
    <row r="103" spans="1:10" ht="12.75" customHeight="1" x14ac:dyDescent="0.2">
      <c r="A103" s="256"/>
      <c r="B103" s="197"/>
      <c r="C103" s="197"/>
      <c r="D103" s="197"/>
      <c r="E103" s="197"/>
      <c r="F103" s="197"/>
      <c r="G103" s="197"/>
      <c r="H103" s="197"/>
      <c r="I103" s="197"/>
      <c r="J103" s="200"/>
    </row>
    <row r="104" spans="1:10" ht="15.75" customHeight="1" x14ac:dyDescent="0.2">
      <c r="A104" s="226" t="s">
        <v>321</v>
      </c>
      <c r="B104" s="197"/>
      <c r="C104" s="197"/>
      <c r="D104" s="197"/>
      <c r="E104" s="197"/>
      <c r="F104" s="197"/>
      <c r="G104" s="197"/>
      <c r="H104" s="197"/>
      <c r="I104" s="197"/>
      <c r="J104" s="200"/>
    </row>
    <row r="105" spans="1:10" ht="15.75" customHeight="1" x14ac:dyDescent="0.2">
      <c r="A105" s="113">
        <v>4</v>
      </c>
      <c r="B105" s="240" t="s">
        <v>322</v>
      </c>
      <c r="C105" s="197"/>
      <c r="D105" s="197"/>
      <c r="E105" s="197"/>
      <c r="F105" s="197"/>
      <c r="G105" s="197"/>
      <c r="H105" s="197"/>
      <c r="I105" s="200"/>
      <c r="J105" s="151" t="s">
        <v>258</v>
      </c>
    </row>
    <row r="106" spans="1:10" ht="14.25" customHeight="1" x14ac:dyDescent="0.2">
      <c r="A106" s="87" t="s">
        <v>307</v>
      </c>
      <c r="B106" s="213" t="s">
        <v>323</v>
      </c>
      <c r="C106" s="197"/>
      <c r="D106" s="197"/>
      <c r="E106" s="197"/>
      <c r="F106" s="197"/>
      <c r="G106" s="197"/>
      <c r="H106" s="197"/>
      <c r="I106" s="200"/>
      <c r="J106" s="130">
        <f>J96</f>
        <v>139.51000000000002</v>
      </c>
    </row>
    <row r="107" spans="1:10" ht="14.25" customHeight="1" x14ac:dyDescent="0.2">
      <c r="A107" s="87" t="s">
        <v>324</v>
      </c>
      <c r="B107" s="213" t="s">
        <v>325</v>
      </c>
      <c r="C107" s="197"/>
      <c r="D107" s="197"/>
      <c r="E107" s="197"/>
      <c r="F107" s="197"/>
      <c r="G107" s="197"/>
      <c r="H107" s="197"/>
      <c r="I107" s="200"/>
      <c r="J107" s="130">
        <f>J102</f>
        <v>0</v>
      </c>
    </row>
    <row r="108" spans="1:10" ht="14.25" customHeight="1" x14ac:dyDescent="0.2">
      <c r="A108" s="243" t="s">
        <v>261</v>
      </c>
      <c r="B108" s="197"/>
      <c r="C108" s="197"/>
      <c r="D108" s="197"/>
      <c r="E108" s="197"/>
      <c r="F108" s="197"/>
      <c r="G108" s="197"/>
      <c r="H108" s="197"/>
      <c r="I108" s="200"/>
      <c r="J108" s="127">
        <f>SUM(J106+J107)</f>
        <v>139.51000000000002</v>
      </c>
    </row>
    <row r="109" spans="1:10" ht="12.75" customHeight="1" x14ac:dyDescent="0.2">
      <c r="A109" s="225"/>
      <c r="B109" s="197"/>
      <c r="C109" s="197"/>
      <c r="D109" s="197"/>
      <c r="E109" s="197"/>
      <c r="F109" s="197"/>
      <c r="G109" s="197"/>
      <c r="H109" s="197"/>
      <c r="I109" s="197"/>
      <c r="J109" s="200"/>
    </row>
    <row r="110" spans="1:10" ht="15.75" customHeight="1" x14ac:dyDescent="0.2">
      <c r="A110" s="226" t="s">
        <v>326</v>
      </c>
      <c r="B110" s="197"/>
      <c r="C110" s="197"/>
      <c r="D110" s="197"/>
      <c r="E110" s="197"/>
      <c r="F110" s="197"/>
      <c r="G110" s="197"/>
      <c r="H110" s="197"/>
      <c r="I110" s="197"/>
      <c r="J110" s="200"/>
    </row>
    <row r="111" spans="1:10" ht="15.75" customHeight="1" x14ac:dyDescent="0.2">
      <c r="A111" s="128">
        <v>5</v>
      </c>
      <c r="B111" s="233" t="s">
        <v>327</v>
      </c>
      <c r="C111" s="197"/>
      <c r="D111" s="197"/>
      <c r="E111" s="197"/>
      <c r="F111" s="197"/>
      <c r="G111" s="197"/>
      <c r="H111" s="197"/>
      <c r="I111" s="200"/>
      <c r="J111" s="128" t="s">
        <v>258</v>
      </c>
    </row>
    <row r="112" spans="1:10" ht="12.75" customHeight="1" x14ac:dyDescent="0.2">
      <c r="A112" s="121" t="s">
        <v>185</v>
      </c>
      <c r="B112" s="231" t="s">
        <v>328</v>
      </c>
      <c r="C112" s="197"/>
      <c r="D112" s="197"/>
      <c r="E112" s="197"/>
      <c r="F112" s="197"/>
      <c r="G112" s="197"/>
      <c r="H112" s="197"/>
      <c r="I112" s="200"/>
      <c r="J112" s="130">
        <f>'INSUMOS - Lajeado'!D189</f>
        <v>133.96083333333331</v>
      </c>
    </row>
    <row r="113" spans="1:10" ht="12.75" customHeight="1" x14ac:dyDescent="0.2">
      <c r="A113" s="121" t="s">
        <v>187</v>
      </c>
      <c r="B113" s="231" t="s">
        <v>329</v>
      </c>
      <c r="C113" s="197"/>
      <c r="D113" s="197"/>
      <c r="E113" s="197"/>
      <c r="F113" s="197"/>
      <c r="G113" s="197"/>
      <c r="H113" s="197"/>
      <c r="I113" s="200"/>
      <c r="J113" s="152">
        <v>0</v>
      </c>
    </row>
    <row r="114" spans="1:10" ht="12.75" customHeight="1" x14ac:dyDescent="0.2">
      <c r="A114" s="121" t="s">
        <v>190</v>
      </c>
      <c r="B114" s="231" t="s">
        <v>330</v>
      </c>
      <c r="C114" s="197"/>
      <c r="D114" s="197"/>
      <c r="E114" s="197"/>
      <c r="F114" s="197"/>
      <c r="G114" s="197"/>
      <c r="H114" s="197"/>
      <c r="I114" s="200"/>
      <c r="J114" s="152">
        <v>0</v>
      </c>
    </row>
    <row r="115" spans="1:10" ht="12.75" customHeight="1" x14ac:dyDescent="0.2">
      <c r="A115" s="121" t="s">
        <v>192</v>
      </c>
      <c r="B115" s="231" t="s">
        <v>331</v>
      </c>
      <c r="C115" s="197"/>
      <c r="D115" s="197"/>
      <c r="E115" s="197"/>
      <c r="F115" s="197"/>
      <c r="G115" s="197"/>
      <c r="H115" s="197"/>
      <c r="I115" s="200"/>
      <c r="J115" s="152">
        <v>0</v>
      </c>
    </row>
    <row r="116" spans="1:10" ht="12.75" customHeight="1" x14ac:dyDescent="0.2">
      <c r="A116" s="232" t="s">
        <v>253</v>
      </c>
      <c r="B116" s="197"/>
      <c r="C116" s="197"/>
      <c r="D116" s="197"/>
      <c r="E116" s="197"/>
      <c r="F116" s="197"/>
      <c r="G116" s="197"/>
      <c r="H116" s="197"/>
      <c r="I116" s="200"/>
      <c r="J116" s="153">
        <f>SUM(J112:J115)</f>
        <v>133.96083333333331</v>
      </c>
    </row>
    <row r="117" spans="1:10" ht="12.75" customHeight="1" x14ac:dyDescent="0.2">
      <c r="A117" s="225"/>
      <c r="B117" s="197"/>
      <c r="C117" s="197"/>
      <c r="D117" s="197"/>
      <c r="E117" s="197"/>
      <c r="F117" s="197"/>
      <c r="G117" s="197"/>
      <c r="H117" s="197"/>
      <c r="I117" s="197"/>
      <c r="J117" s="200"/>
    </row>
    <row r="118" spans="1:10" ht="15.75" customHeight="1" x14ac:dyDescent="0.2">
      <c r="A118" s="226" t="s">
        <v>333</v>
      </c>
      <c r="B118" s="197"/>
      <c r="C118" s="197"/>
      <c r="D118" s="197"/>
      <c r="E118" s="197"/>
      <c r="F118" s="197"/>
      <c r="G118" s="197"/>
      <c r="H118" s="197"/>
      <c r="I118" s="197"/>
      <c r="J118" s="200"/>
    </row>
    <row r="119" spans="1:10" ht="30" customHeight="1" x14ac:dyDescent="0.2">
      <c r="A119" s="128">
        <v>6</v>
      </c>
      <c r="B119" s="233" t="s">
        <v>334</v>
      </c>
      <c r="C119" s="197"/>
      <c r="D119" s="197"/>
      <c r="E119" s="197"/>
      <c r="F119" s="197"/>
      <c r="G119" s="197"/>
      <c r="H119" s="200"/>
      <c r="I119" s="113" t="s">
        <v>266</v>
      </c>
      <c r="J119" s="154" t="s">
        <v>335</v>
      </c>
    </row>
    <row r="120" spans="1:10" ht="12.75" customHeight="1" x14ac:dyDescent="0.2">
      <c r="A120" s="229" t="s">
        <v>336</v>
      </c>
      <c r="B120" s="197"/>
      <c r="C120" s="197"/>
      <c r="D120" s="197"/>
      <c r="E120" s="197"/>
      <c r="F120" s="197"/>
      <c r="G120" s="197"/>
      <c r="H120" s="200"/>
      <c r="I120" s="155" t="s">
        <v>286</v>
      </c>
      <c r="J120" s="156">
        <f>SUM(J30+J73+J82+J108+J116)</f>
        <v>2082.1208333333334</v>
      </c>
    </row>
    <row r="121" spans="1:10" ht="15.75" customHeight="1" x14ac:dyDescent="0.2">
      <c r="A121" s="157" t="s">
        <v>185</v>
      </c>
      <c r="B121" s="257" t="s">
        <v>337</v>
      </c>
      <c r="C121" s="197"/>
      <c r="D121" s="197"/>
      <c r="E121" s="197"/>
      <c r="F121" s="197"/>
      <c r="G121" s="197"/>
      <c r="H121" s="200"/>
      <c r="I121" s="129">
        <v>0.03</v>
      </c>
      <c r="J121" s="130">
        <f>ROUND(I121*J120,2)</f>
        <v>62.46</v>
      </c>
    </row>
    <row r="122" spans="1:10" ht="12.75" customHeight="1" x14ac:dyDescent="0.2">
      <c r="A122" s="229" t="s">
        <v>338</v>
      </c>
      <c r="B122" s="197"/>
      <c r="C122" s="197"/>
      <c r="D122" s="197"/>
      <c r="E122" s="197"/>
      <c r="F122" s="197"/>
      <c r="G122" s="197"/>
      <c r="H122" s="200"/>
      <c r="I122" s="158" t="s">
        <v>286</v>
      </c>
      <c r="J122" s="156">
        <f>SUM(J30+J73+J82+J108+J116+J121)</f>
        <v>2144.5808333333334</v>
      </c>
    </row>
    <row r="123" spans="1:10" ht="15.75" customHeight="1" x14ac:dyDescent="0.2">
      <c r="A123" s="157" t="s">
        <v>187</v>
      </c>
      <c r="B123" s="257" t="s">
        <v>339</v>
      </c>
      <c r="C123" s="197"/>
      <c r="D123" s="197"/>
      <c r="E123" s="197"/>
      <c r="F123" s="197"/>
      <c r="G123" s="197"/>
      <c r="H123" s="200"/>
      <c r="I123" s="129">
        <v>6.7900000000000002E-2</v>
      </c>
      <c r="J123" s="130">
        <f>ROUND(I123*J122,2)</f>
        <v>145.62</v>
      </c>
    </row>
    <row r="124" spans="1:10" ht="12.75" customHeight="1" x14ac:dyDescent="0.2">
      <c r="A124" s="229" t="s">
        <v>340</v>
      </c>
      <c r="B124" s="197"/>
      <c r="C124" s="197"/>
      <c r="D124" s="197"/>
      <c r="E124" s="197"/>
      <c r="F124" s="197"/>
      <c r="G124" s="197"/>
      <c r="H124" s="200"/>
      <c r="I124" s="158" t="s">
        <v>286</v>
      </c>
      <c r="J124" s="156">
        <f>SUM(J30+J73+J82+J108+J116+J121+J123)</f>
        <v>2290.2008333333333</v>
      </c>
    </row>
    <row r="125" spans="1:10" ht="15.75" customHeight="1" x14ac:dyDescent="0.2">
      <c r="A125" s="157" t="s">
        <v>190</v>
      </c>
      <c r="B125" s="257" t="s">
        <v>341</v>
      </c>
      <c r="C125" s="197"/>
      <c r="D125" s="197"/>
      <c r="E125" s="197"/>
      <c r="F125" s="197"/>
      <c r="G125" s="197"/>
      <c r="H125" s="200"/>
      <c r="I125" s="122" t="s">
        <v>286</v>
      </c>
      <c r="J125" s="137" t="s">
        <v>286</v>
      </c>
    </row>
    <row r="126" spans="1:10" ht="12.75" customHeight="1" x14ac:dyDescent="0.2">
      <c r="A126" s="121"/>
      <c r="B126" s="231" t="s">
        <v>342</v>
      </c>
      <c r="C126" s="197"/>
      <c r="D126" s="197"/>
      <c r="E126" s="197"/>
      <c r="F126" s="197"/>
      <c r="G126" s="197"/>
      <c r="H126" s="200"/>
      <c r="I126" s="122" t="s">
        <v>286</v>
      </c>
      <c r="J126" s="137" t="s">
        <v>286</v>
      </c>
    </row>
    <row r="127" spans="1:10" ht="12.75" customHeight="1" x14ac:dyDescent="0.2">
      <c r="A127" s="121"/>
      <c r="B127" s="231" t="s">
        <v>394</v>
      </c>
      <c r="C127" s="197"/>
      <c r="D127" s="197"/>
      <c r="E127" s="197"/>
      <c r="F127" s="197"/>
      <c r="G127" s="197"/>
      <c r="H127" s="200"/>
      <c r="I127" s="116">
        <v>7.5999999999999998E-2</v>
      </c>
      <c r="J127" s="130">
        <f t="shared" ref="J127:J128" si="3">ROUND(($J$124/(1-$I$136))*I127,2)</f>
        <v>197.23</v>
      </c>
    </row>
    <row r="128" spans="1:10" ht="12.75" customHeight="1" x14ac:dyDescent="0.2">
      <c r="A128" s="121"/>
      <c r="B128" s="231" t="s">
        <v>395</v>
      </c>
      <c r="C128" s="197"/>
      <c r="D128" s="197"/>
      <c r="E128" s="197"/>
      <c r="F128" s="197"/>
      <c r="G128" s="197"/>
      <c r="H128" s="200"/>
      <c r="I128" s="116">
        <v>1.6500000000000001E-2</v>
      </c>
      <c r="J128" s="130">
        <f t="shared" si="3"/>
        <v>42.82</v>
      </c>
    </row>
    <row r="129" spans="1:10" ht="27" customHeight="1" x14ac:dyDescent="0.2">
      <c r="A129" s="121"/>
      <c r="B129" s="213" t="s">
        <v>345</v>
      </c>
      <c r="C129" s="197"/>
      <c r="D129" s="197"/>
      <c r="E129" s="197"/>
      <c r="F129" s="197"/>
      <c r="G129" s="197"/>
      <c r="H129" s="200"/>
      <c r="I129" s="159" t="s">
        <v>286</v>
      </c>
      <c r="J129" s="137" t="s">
        <v>286</v>
      </c>
    </row>
    <row r="130" spans="1:10" ht="27" customHeight="1" x14ac:dyDescent="0.2">
      <c r="A130" s="121"/>
      <c r="B130" s="213" t="s">
        <v>346</v>
      </c>
      <c r="C130" s="197"/>
      <c r="D130" s="197"/>
      <c r="E130" s="197"/>
      <c r="F130" s="197"/>
      <c r="G130" s="197"/>
      <c r="H130" s="200"/>
      <c r="I130" s="159" t="s">
        <v>286</v>
      </c>
      <c r="J130" s="137" t="s">
        <v>286</v>
      </c>
    </row>
    <row r="131" spans="1:10" ht="12.75" customHeight="1" x14ac:dyDescent="0.2">
      <c r="A131" s="121"/>
      <c r="B131" s="231" t="s">
        <v>347</v>
      </c>
      <c r="C131" s="197"/>
      <c r="D131" s="197"/>
      <c r="E131" s="197"/>
      <c r="F131" s="197"/>
      <c r="G131" s="197"/>
      <c r="H131" s="200"/>
      <c r="I131" s="159" t="s">
        <v>286</v>
      </c>
      <c r="J131" s="137" t="s">
        <v>286</v>
      </c>
    </row>
    <row r="132" spans="1:10" ht="12.75" customHeight="1" x14ac:dyDescent="0.2">
      <c r="A132" s="121"/>
      <c r="B132" s="231" t="s">
        <v>348</v>
      </c>
      <c r="C132" s="197"/>
      <c r="D132" s="197"/>
      <c r="E132" s="197"/>
      <c r="F132" s="197"/>
      <c r="G132" s="197"/>
      <c r="H132" s="200"/>
      <c r="I132" s="159" t="s">
        <v>286</v>
      </c>
      <c r="J132" s="137" t="s">
        <v>286</v>
      </c>
    </row>
    <row r="133" spans="1:10" ht="12.75" customHeight="1" x14ac:dyDescent="0.2">
      <c r="A133" s="121"/>
      <c r="B133" s="231" t="s">
        <v>396</v>
      </c>
      <c r="C133" s="197"/>
      <c r="D133" s="197"/>
      <c r="E133" s="197"/>
      <c r="F133" s="197"/>
      <c r="G133" s="197"/>
      <c r="H133" s="200"/>
      <c r="I133" s="116">
        <v>2.5000000000000001E-2</v>
      </c>
      <c r="J133" s="130">
        <f>ROUND(($J$124/(1-$I$136))*I133,2)</f>
        <v>64.88</v>
      </c>
    </row>
    <row r="134" spans="1:10" ht="12.75" customHeight="1" x14ac:dyDescent="0.2">
      <c r="A134" s="232" t="s">
        <v>261</v>
      </c>
      <c r="B134" s="197"/>
      <c r="C134" s="197"/>
      <c r="D134" s="197"/>
      <c r="E134" s="197"/>
      <c r="F134" s="197"/>
      <c r="G134" s="197"/>
      <c r="H134" s="197"/>
      <c r="I134" s="200"/>
      <c r="J134" s="127">
        <f>SUM(J121+J123+J127+J128+J133)</f>
        <v>513.01</v>
      </c>
    </row>
    <row r="135" spans="1:10" ht="12.75" customHeight="1" x14ac:dyDescent="0.2">
      <c r="A135" s="225"/>
      <c r="B135" s="197"/>
      <c r="C135" s="197"/>
      <c r="D135" s="197"/>
      <c r="E135" s="197"/>
      <c r="F135" s="197"/>
      <c r="G135" s="197"/>
      <c r="H135" s="197"/>
      <c r="I135" s="197"/>
      <c r="J135" s="200"/>
    </row>
    <row r="136" spans="1:10" ht="14.25" customHeight="1" x14ac:dyDescent="0.2">
      <c r="A136" s="259" t="s">
        <v>350</v>
      </c>
      <c r="B136" s="197"/>
      <c r="C136" s="197"/>
      <c r="D136" s="197"/>
      <c r="E136" s="197"/>
      <c r="F136" s="197"/>
      <c r="G136" s="197"/>
      <c r="H136" s="200"/>
      <c r="I136" s="160">
        <f t="shared" ref="I136:J136" si="4">SUM(I127:I133)</f>
        <v>0.11749999999999999</v>
      </c>
      <c r="J136" s="156">
        <f t="shared" si="4"/>
        <v>304.92999999999995</v>
      </c>
    </row>
    <row r="137" spans="1:10" ht="12.75" customHeight="1" x14ac:dyDescent="0.2">
      <c r="A137" s="260" t="s">
        <v>351</v>
      </c>
      <c r="B137" s="203"/>
      <c r="C137" s="261"/>
      <c r="D137" s="258" t="s">
        <v>352</v>
      </c>
      <c r="E137" s="197"/>
      <c r="F137" s="197"/>
      <c r="G137" s="197"/>
      <c r="H137" s="197"/>
      <c r="I137" s="197"/>
      <c r="J137" s="200"/>
    </row>
    <row r="138" spans="1:10" ht="12.75" customHeight="1" x14ac:dyDescent="0.2">
      <c r="A138" s="262"/>
      <c r="B138" s="178"/>
      <c r="C138" s="216"/>
      <c r="D138" s="258" t="s">
        <v>353</v>
      </c>
      <c r="E138" s="197"/>
      <c r="F138" s="197"/>
      <c r="G138" s="197"/>
      <c r="H138" s="197"/>
      <c r="I138" s="197"/>
      <c r="J138" s="200"/>
    </row>
    <row r="139" spans="1:10" ht="12.75" customHeight="1" x14ac:dyDescent="0.2">
      <c r="A139" s="263"/>
      <c r="B139" s="209"/>
      <c r="C139" s="210"/>
      <c r="D139" s="258" t="s">
        <v>354</v>
      </c>
      <c r="E139" s="197"/>
      <c r="F139" s="197"/>
      <c r="G139" s="197"/>
      <c r="H139" s="197"/>
      <c r="I139" s="197"/>
      <c r="J139" s="200"/>
    </row>
    <row r="140" spans="1:10" ht="12.75" customHeight="1" x14ac:dyDescent="0.2">
      <c r="A140" s="225"/>
      <c r="B140" s="197"/>
      <c r="C140" s="197"/>
      <c r="D140" s="197"/>
      <c r="E140" s="197"/>
      <c r="F140" s="197"/>
      <c r="G140" s="197"/>
      <c r="H140" s="197"/>
      <c r="I140" s="197"/>
      <c r="J140" s="200"/>
    </row>
    <row r="141" spans="1:10" ht="45.75" customHeight="1" x14ac:dyDescent="0.2">
      <c r="A141" s="264" t="s">
        <v>355</v>
      </c>
      <c r="B141" s="197"/>
      <c r="C141" s="197"/>
      <c r="D141" s="197"/>
      <c r="E141" s="197"/>
      <c r="F141" s="197"/>
      <c r="G141" s="197"/>
      <c r="H141" s="197"/>
      <c r="I141" s="197"/>
      <c r="J141" s="200"/>
    </row>
    <row r="142" spans="1:10" ht="14.25" customHeight="1" x14ac:dyDescent="0.2">
      <c r="A142" s="265" t="s">
        <v>356</v>
      </c>
      <c r="B142" s="197"/>
      <c r="C142" s="197"/>
      <c r="D142" s="197"/>
      <c r="E142" s="197"/>
      <c r="F142" s="197"/>
      <c r="G142" s="197"/>
      <c r="H142" s="197"/>
      <c r="I142" s="200"/>
      <c r="J142" s="161" t="s">
        <v>258</v>
      </c>
    </row>
    <row r="143" spans="1:10" ht="14.25" customHeight="1" x14ac:dyDescent="0.2">
      <c r="A143" s="162" t="s">
        <v>185</v>
      </c>
      <c r="B143" s="253" t="s">
        <v>357</v>
      </c>
      <c r="C143" s="197"/>
      <c r="D143" s="197"/>
      <c r="E143" s="197"/>
      <c r="F143" s="197"/>
      <c r="G143" s="197"/>
      <c r="H143" s="197"/>
      <c r="I143" s="200"/>
      <c r="J143" s="152">
        <f>J30</f>
        <v>875.29</v>
      </c>
    </row>
    <row r="144" spans="1:10" ht="14.25" customHeight="1" x14ac:dyDescent="0.2">
      <c r="A144" s="162" t="s">
        <v>187</v>
      </c>
      <c r="B144" s="253" t="s">
        <v>254</v>
      </c>
      <c r="C144" s="197"/>
      <c r="D144" s="197"/>
      <c r="E144" s="197"/>
      <c r="F144" s="197"/>
      <c r="G144" s="197"/>
      <c r="H144" s="197"/>
      <c r="I144" s="200"/>
      <c r="J144" s="152">
        <f>J73</f>
        <v>888.96</v>
      </c>
    </row>
    <row r="145" spans="1:10" ht="14.25" customHeight="1" x14ac:dyDescent="0.2">
      <c r="A145" s="162" t="s">
        <v>190</v>
      </c>
      <c r="B145" s="253" t="s">
        <v>358</v>
      </c>
      <c r="C145" s="197"/>
      <c r="D145" s="197"/>
      <c r="E145" s="197"/>
      <c r="F145" s="197"/>
      <c r="G145" s="197"/>
      <c r="H145" s="197"/>
      <c r="I145" s="200"/>
      <c r="J145" s="152">
        <f>J82</f>
        <v>44.4</v>
      </c>
    </row>
    <row r="146" spans="1:10" ht="14.25" customHeight="1" x14ac:dyDescent="0.2">
      <c r="A146" s="162" t="s">
        <v>192</v>
      </c>
      <c r="B146" s="253" t="s">
        <v>359</v>
      </c>
      <c r="C146" s="197"/>
      <c r="D146" s="197"/>
      <c r="E146" s="197"/>
      <c r="F146" s="197"/>
      <c r="G146" s="197"/>
      <c r="H146" s="197"/>
      <c r="I146" s="200"/>
      <c r="J146" s="152">
        <f>J108</f>
        <v>139.51000000000002</v>
      </c>
    </row>
    <row r="147" spans="1:10" ht="14.25" customHeight="1" x14ac:dyDescent="0.2">
      <c r="A147" s="162" t="s">
        <v>250</v>
      </c>
      <c r="B147" s="253" t="s">
        <v>360</v>
      </c>
      <c r="C147" s="197"/>
      <c r="D147" s="197"/>
      <c r="E147" s="197"/>
      <c r="F147" s="197"/>
      <c r="G147" s="197"/>
      <c r="H147" s="197"/>
      <c r="I147" s="200"/>
      <c r="J147" s="152">
        <f>J116</f>
        <v>133.96083333333331</v>
      </c>
    </row>
    <row r="148" spans="1:10" ht="14.25" customHeight="1" x14ac:dyDescent="0.2">
      <c r="A148" s="254" t="s">
        <v>361</v>
      </c>
      <c r="B148" s="197"/>
      <c r="C148" s="197"/>
      <c r="D148" s="197"/>
      <c r="E148" s="197"/>
      <c r="F148" s="197"/>
      <c r="G148" s="197"/>
      <c r="H148" s="197"/>
      <c r="I148" s="200"/>
      <c r="J148" s="153">
        <f>SUM(J143:J147)</f>
        <v>2082.1208333333334</v>
      </c>
    </row>
    <row r="149" spans="1:10" ht="14.25" customHeight="1" x14ac:dyDescent="0.2">
      <c r="A149" s="162" t="s">
        <v>275</v>
      </c>
      <c r="B149" s="253" t="s">
        <v>362</v>
      </c>
      <c r="C149" s="197"/>
      <c r="D149" s="197"/>
      <c r="E149" s="197"/>
      <c r="F149" s="197"/>
      <c r="G149" s="197"/>
      <c r="H149" s="197"/>
      <c r="I149" s="200"/>
      <c r="J149" s="152">
        <f>J134</f>
        <v>513.01</v>
      </c>
    </row>
    <row r="150" spans="1:10" ht="14.25" customHeight="1" x14ac:dyDescent="0.2">
      <c r="A150" s="254" t="s">
        <v>363</v>
      </c>
      <c r="B150" s="197"/>
      <c r="C150" s="197"/>
      <c r="D150" s="197"/>
      <c r="E150" s="197"/>
      <c r="F150" s="197"/>
      <c r="G150" s="197"/>
      <c r="H150" s="197"/>
      <c r="I150" s="200"/>
      <c r="J150" s="153">
        <f>SUM(J148:J149)</f>
        <v>2595.1308333333336</v>
      </c>
    </row>
    <row r="151" spans="1:10" ht="12.75" customHeight="1" x14ac:dyDescent="0.2">
      <c r="A151" s="225"/>
      <c r="B151" s="197"/>
      <c r="C151" s="197"/>
      <c r="D151" s="197"/>
      <c r="E151" s="197"/>
      <c r="F151" s="197"/>
      <c r="G151" s="197"/>
      <c r="H151" s="197"/>
      <c r="I151" s="197"/>
      <c r="J151" s="200"/>
    </row>
    <row r="152" spans="1:10" ht="12.75" customHeight="1" x14ac:dyDescent="0.2">
      <c r="A152" s="255" t="s">
        <v>364</v>
      </c>
      <c r="B152" s="203"/>
      <c r="C152" s="203"/>
      <c r="D152" s="203"/>
      <c r="E152" s="203"/>
      <c r="F152" s="203"/>
      <c r="G152" s="203"/>
      <c r="H152" s="203"/>
      <c r="I152" s="203"/>
      <c r="J152" s="203"/>
    </row>
    <row r="153" spans="1:10" ht="12.75" customHeight="1" x14ac:dyDescent="0.2">
      <c r="A153" s="249" t="s">
        <v>365</v>
      </c>
      <c r="B153" s="197"/>
      <c r="C153" s="197"/>
      <c r="D153" s="197"/>
      <c r="E153" s="197"/>
      <c r="F153" s="197"/>
      <c r="G153" s="200"/>
      <c r="H153" s="249" t="s">
        <v>366</v>
      </c>
      <c r="I153" s="197"/>
      <c r="J153" s="200"/>
    </row>
    <row r="154" spans="1:10" ht="12.75" customHeight="1" x14ac:dyDescent="0.2">
      <c r="A154" s="250" t="s">
        <v>397</v>
      </c>
      <c r="B154" s="203"/>
      <c r="C154" s="203"/>
      <c r="D154" s="203"/>
      <c r="E154" s="203"/>
      <c r="F154" s="203"/>
      <c r="G154" s="203"/>
      <c r="H154" s="251">
        <v>1</v>
      </c>
      <c r="I154" s="203"/>
      <c r="J154" s="203"/>
    </row>
    <row r="155" spans="1:10" ht="12.75" customHeight="1" x14ac:dyDescent="0.2">
      <c r="A155" s="252"/>
      <c r="B155" s="197"/>
      <c r="C155" s="197"/>
      <c r="D155" s="197"/>
      <c r="E155" s="197"/>
      <c r="F155" s="197"/>
      <c r="G155" s="197"/>
      <c r="H155" s="197"/>
      <c r="I155" s="197"/>
      <c r="J155" s="200"/>
    </row>
    <row r="156" spans="1:10" ht="12.75" customHeight="1" x14ac:dyDescent="0.2"/>
    <row r="157" spans="1:10" ht="12.75" customHeight="1" x14ac:dyDescent="0.2"/>
    <row r="158" spans="1:10" ht="12.75" customHeight="1" x14ac:dyDescent="0.2"/>
    <row r="159" spans="1:10" ht="12.75" customHeight="1" x14ac:dyDescent="0.2"/>
    <row r="160" spans="1:1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70">
    <mergeCell ref="B145:I145"/>
    <mergeCell ref="B146:I146"/>
    <mergeCell ref="B147:I147"/>
    <mergeCell ref="A148:I148"/>
    <mergeCell ref="A137:C139"/>
    <mergeCell ref="D137:J137"/>
    <mergeCell ref="D138:J138"/>
    <mergeCell ref="D139:J139"/>
    <mergeCell ref="A140:J140"/>
    <mergeCell ref="A141:J141"/>
    <mergeCell ref="A142:I142"/>
    <mergeCell ref="B143:I143"/>
    <mergeCell ref="B144:I144"/>
    <mergeCell ref="B128:H128"/>
    <mergeCell ref="B129:H129"/>
    <mergeCell ref="B130:H130"/>
    <mergeCell ref="B131:H131"/>
    <mergeCell ref="B132:H132"/>
    <mergeCell ref="B133:H133"/>
    <mergeCell ref="A134:I134"/>
    <mergeCell ref="A135:J135"/>
    <mergeCell ref="A136:H136"/>
    <mergeCell ref="B119:H119"/>
    <mergeCell ref="A120:H120"/>
    <mergeCell ref="B121:H121"/>
    <mergeCell ref="A122:H122"/>
    <mergeCell ref="B123:H123"/>
    <mergeCell ref="A124:H124"/>
    <mergeCell ref="B125:H125"/>
    <mergeCell ref="B126:H126"/>
    <mergeCell ref="B127:H127"/>
    <mergeCell ref="A110:J110"/>
    <mergeCell ref="B111:I111"/>
    <mergeCell ref="B112:I112"/>
    <mergeCell ref="B113:I113"/>
    <mergeCell ref="B114:I114"/>
    <mergeCell ref="B115:I115"/>
    <mergeCell ref="A116:I116"/>
    <mergeCell ref="A117:J117"/>
    <mergeCell ref="A118:J118"/>
    <mergeCell ref="B95:I95"/>
    <mergeCell ref="A96:I96"/>
    <mergeCell ref="A97:J97"/>
    <mergeCell ref="B98:I98"/>
    <mergeCell ref="B99:I99"/>
    <mergeCell ref="A100:I100"/>
    <mergeCell ref="A154:G154"/>
    <mergeCell ref="A155:J155"/>
    <mergeCell ref="B149:I149"/>
    <mergeCell ref="A150:I150"/>
    <mergeCell ref="A151:J151"/>
    <mergeCell ref="A152:J152"/>
    <mergeCell ref="A153:G153"/>
    <mergeCell ref="H153:J153"/>
    <mergeCell ref="H154:J154"/>
    <mergeCell ref="B101:I101"/>
    <mergeCell ref="A102:I102"/>
    <mergeCell ref="A103:J103"/>
    <mergeCell ref="A104:J104"/>
    <mergeCell ref="B105:I105"/>
    <mergeCell ref="B106:I106"/>
    <mergeCell ref="B107:I107"/>
    <mergeCell ref="A108:I108"/>
    <mergeCell ref="A109:J109"/>
    <mergeCell ref="A86:J86"/>
    <mergeCell ref="B87:I87"/>
    <mergeCell ref="B88:H88"/>
    <mergeCell ref="B89:I89"/>
    <mergeCell ref="B90:I90"/>
    <mergeCell ref="B91:I91"/>
    <mergeCell ref="B92:I92"/>
    <mergeCell ref="B93:I93"/>
    <mergeCell ref="A94:I94"/>
    <mergeCell ref="B77:I77"/>
    <mergeCell ref="B78:I78"/>
    <mergeCell ref="B79:I79"/>
    <mergeCell ref="B80:I80"/>
    <mergeCell ref="B81:H81"/>
    <mergeCell ref="A82:I82"/>
    <mergeCell ref="A83:J83"/>
    <mergeCell ref="A84:J84"/>
    <mergeCell ref="A85:I85"/>
    <mergeCell ref="A68:J68"/>
    <mergeCell ref="B69:I69"/>
    <mergeCell ref="C70:I70"/>
    <mergeCell ref="C71:I71"/>
    <mergeCell ref="C72:I72"/>
    <mergeCell ref="A73:I73"/>
    <mergeCell ref="A74:J74"/>
    <mergeCell ref="A75:J75"/>
    <mergeCell ref="B76:I76"/>
    <mergeCell ref="B59:H59"/>
    <mergeCell ref="B60:I60"/>
    <mergeCell ref="B61:H61"/>
    <mergeCell ref="B62:H62"/>
    <mergeCell ref="B63:H63"/>
    <mergeCell ref="B64:I64"/>
    <mergeCell ref="B65:I65"/>
    <mergeCell ref="A66:I66"/>
    <mergeCell ref="A67:J67"/>
    <mergeCell ref="B50:H50"/>
    <mergeCell ref="A51:H51"/>
    <mergeCell ref="A52:J52"/>
    <mergeCell ref="A53:J53"/>
    <mergeCell ref="B54:I54"/>
    <mergeCell ref="B55:I55"/>
    <mergeCell ref="B56:H56"/>
    <mergeCell ref="B57:H57"/>
    <mergeCell ref="B58:H58"/>
    <mergeCell ref="B27:I27"/>
    <mergeCell ref="B28:I28"/>
    <mergeCell ref="B29:H29"/>
    <mergeCell ref="A30:I30"/>
    <mergeCell ref="B45:D45"/>
    <mergeCell ref="B46:H46"/>
    <mergeCell ref="B47:H47"/>
    <mergeCell ref="B48:H48"/>
    <mergeCell ref="B49:H49"/>
    <mergeCell ref="B20:G20"/>
    <mergeCell ref="H20:J20"/>
    <mergeCell ref="A21:J21"/>
    <mergeCell ref="A22:J22"/>
    <mergeCell ref="B23:G23"/>
    <mergeCell ref="H23:I23"/>
    <mergeCell ref="B24:I24"/>
    <mergeCell ref="B25:H25"/>
    <mergeCell ref="B26:I26"/>
    <mergeCell ref="A14:J14"/>
    <mergeCell ref="A15:J15"/>
    <mergeCell ref="B16:G16"/>
    <mergeCell ref="H16:J16"/>
    <mergeCell ref="B17:G17"/>
    <mergeCell ref="H17:J17"/>
    <mergeCell ref="B18:G18"/>
    <mergeCell ref="H18:J18"/>
    <mergeCell ref="H19:J19"/>
    <mergeCell ref="B19:G19"/>
    <mergeCell ref="A40:J40"/>
    <mergeCell ref="A41:J41"/>
    <mergeCell ref="B42:H42"/>
    <mergeCell ref="B43:H43"/>
    <mergeCell ref="B44:H44"/>
    <mergeCell ref="A1:J1"/>
    <mergeCell ref="A2:J2"/>
    <mergeCell ref="A3:J3"/>
    <mergeCell ref="A4:G4"/>
    <mergeCell ref="H4:J4"/>
    <mergeCell ref="A5:G5"/>
    <mergeCell ref="H5:J5"/>
    <mergeCell ref="A6:J6"/>
    <mergeCell ref="A7:J7"/>
    <mergeCell ref="B8:G8"/>
    <mergeCell ref="H8:J8"/>
    <mergeCell ref="B9:G9"/>
    <mergeCell ref="H9:J9"/>
    <mergeCell ref="H10:J10"/>
    <mergeCell ref="B10:G10"/>
    <mergeCell ref="B11:G11"/>
    <mergeCell ref="H11:J11"/>
    <mergeCell ref="A12:J12"/>
    <mergeCell ref="A13:J13"/>
    <mergeCell ref="A31:J31"/>
    <mergeCell ref="A32:J32"/>
    <mergeCell ref="A33:J33"/>
    <mergeCell ref="B34:I34"/>
    <mergeCell ref="B35:H35"/>
    <mergeCell ref="B36:H36"/>
    <mergeCell ref="A37:I37"/>
    <mergeCell ref="B38:I38"/>
    <mergeCell ref="A39:I39"/>
  </mergeCells>
  <pageMargins left="0.7" right="0.7" top="0.75" bottom="0.75" header="0" footer="0"/>
  <pageSetup orientation="portrait"/>
  <headerFooter>
    <oddHeader>&amp;C&amp;A</oddHeader>
    <oddFooter>&amp;CPágina &amp;P</oddFooter>
  </headerFooter>
  <colBreaks count="2" manualBreakCount="2">
    <brk man="1"/>
    <brk id="10"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C00"/>
  </sheetPr>
  <dimension ref="A1:K1000"/>
  <sheetViews>
    <sheetView workbookViewId="0">
      <selection sqref="A1:J1"/>
    </sheetView>
  </sheetViews>
  <sheetFormatPr defaultColWidth="12.5703125" defaultRowHeight="15" customHeight="1" x14ac:dyDescent="0.2"/>
  <cols>
    <col min="1" max="10" width="11.5703125" customWidth="1"/>
    <col min="11" max="11" width="11.42578125" customWidth="1"/>
    <col min="12" max="26" width="8" customWidth="1"/>
  </cols>
  <sheetData>
    <row r="1" spans="1:10" ht="23.25" customHeight="1" x14ac:dyDescent="0.2">
      <c r="A1" s="234" t="s">
        <v>223</v>
      </c>
      <c r="B1" s="197"/>
      <c r="C1" s="197"/>
      <c r="D1" s="197"/>
      <c r="E1" s="197"/>
      <c r="F1" s="197"/>
      <c r="G1" s="197"/>
      <c r="H1" s="197"/>
      <c r="I1" s="197"/>
      <c r="J1" s="200"/>
    </row>
    <row r="2" spans="1:10" ht="24" customHeight="1" x14ac:dyDescent="0.2">
      <c r="A2" s="235" t="s">
        <v>398</v>
      </c>
      <c r="B2" s="197"/>
      <c r="C2" s="197"/>
      <c r="D2" s="197"/>
      <c r="E2" s="197"/>
      <c r="F2" s="197"/>
      <c r="G2" s="197"/>
      <c r="H2" s="197"/>
      <c r="I2" s="197"/>
      <c r="J2" s="200"/>
    </row>
    <row r="3" spans="1:10" ht="46.5" customHeight="1" x14ac:dyDescent="0.2">
      <c r="A3" s="236" t="s">
        <v>399</v>
      </c>
      <c r="B3" s="197"/>
      <c r="C3" s="197"/>
      <c r="D3" s="197"/>
      <c r="E3" s="197"/>
      <c r="F3" s="197"/>
      <c r="G3" s="197"/>
      <c r="H3" s="197"/>
      <c r="I3" s="197"/>
      <c r="J3" s="200"/>
    </row>
    <row r="4" spans="1:10" ht="14.25" customHeight="1" x14ac:dyDescent="0.2">
      <c r="A4" s="213" t="s">
        <v>180</v>
      </c>
      <c r="B4" s="197"/>
      <c r="C4" s="197"/>
      <c r="D4" s="197"/>
      <c r="E4" s="197"/>
      <c r="F4" s="197"/>
      <c r="G4" s="200"/>
      <c r="H4" s="201" t="s">
        <v>226</v>
      </c>
      <c r="I4" s="197"/>
      <c r="J4" s="200"/>
    </row>
    <row r="5" spans="1:10" ht="14.25" customHeight="1" x14ac:dyDescent="0.2">
      <c r="A5" s="213" t="s">
        <v>182</v>
      </c>
      <c r="B5" s="197"/>
      <c r="C5" s="197"/>
      <c r="D5" s="197"/>
      <c r="E5" s="197"/>
      <c r="F5" s="197"/>
      <c r="G5" s="200"/>
      <c r="H5" s="201"/>
      <c r="I5" s="197"/>
      <c r="J5" s="200"/>
    </row>
    <row r="6" spans="1:10" ht="14.25" customHeight="1" x14ac:dyDescent="0.2">
      <c r="A6" s="213" t="s">
        <v>183</v>
      </c>
      <c r="B6" s="197"/>
      <c r="C6" s="197"/>
      <c r="D6" s="197"/>
      <c r="E6" s="197"/>
      <c r="F6" s="197"/>
      <c r="G6" s="197"/>
      <c r="H6" s="197"/>
      <c r="I6" s="197"/>
      <c r="J6" s="200"/>
    </row>
    <row r="7" spans="1:10" ht="15.75" customHeight="1" x14ac:dyDescent="0.2">
      <c r="A7" s="237" t="s">
        <v>184</v>
      </c>
      <c r="B7" s="197"/>
      <c r="C7" s="197"/>
      <c r="D7" s="197"/>
      <c r="E7" s="197"/>
      <c r="F7" s="197"/>
      <c r="G7" s="197"/>
      <c r="H7" s="197"/>
      <c r="I7" s="197"/>
      <c r="J7" s="200"/>
    </row>
    <row r="8" spans="1:10" ht="14.25" customHeight="1" x14ac:dyDescent="0.2">
      <c r="A8" s="87" t="s">
        <v>185</v>
      </c>
      <c r="B8" s="213" t="s">
        <v>186</v>
      </c>
      <c r="C8" s="197"/>
      <c r="D8" s="197"/>
      <c r="E8" s="197"/>
      <c r="F8" s="197"/>
      <c r="G8" s="200"/>
      <c r="H8" s="214"/>
      <c r="I8" s="197"/>
      <c r="J8" s="200"/>
    </row>
    <row r="9" spans="1:10" ht="14.25" customHeight="1" x14ac:dyDescent="0.2">
      <c r="A9" s="87" t="s">
        <v>187</v>
      </c>
      <c r="B9" s="213" t="s">
        <v>227</v>
      </c>
      <c r="C9" s="197"/>
      <c r="D9" s="197"/>
      <c r="E9" s="197"/>
      <c r="F9" s="197"/>
      <c r="G9" s="200"/>
      <c r="H9" s="201" t="s">
        <v>228</v>
      </c>
      <c r="I9" s="197"/>
      <c r="J9" s="200"/>
    </row>
    <row r="10" spans="1:10" ht="39" customHeight="1" x14ac:dyDescent="0.2">
      <c r="A10" s="87" t="s">
        <v>190</v>
      </c>
      <c r="B10" s="213" t="s">
        <v>229</v>
      </c>
      <c r="C10" s="197"/>
      <c r="D10" s="197"/>
      <c r="E10" s="197"/>
      <c r="F10" s="197"/>
      <c r="G10" s="200"/>
      <c r="H10" s="238" t="s">
        <v>369</v>
      </c>
      <c r="I10" s="197"/>
      <c r="J10" s="200"/>
    </row>
    <row r="11" spans="1:10" ht="12.75" customHeight="1" x14ac:dyDescent="0.2">
      <c r="A11" s="87" t="s">
        <v>192</v>
      </c>
      <c r="B11" s="213" t="s">
        <v>400</v>
      </c>
      <c r="C11" s="197"/>
      <c r="D11" s="197"/>
      <c r="E11" s="197"/>
      <c r="F11" s="197"/>
      <c r="G11" s="200"/>
      <c r="H11" s="201">
        <v>60</v>
      </c>
      <c r="I11" s="197"/>
      <c r="J11" s="200"/>
    </row>
    <row r="12" spans="1:10" ht="12.75" customHeight="1" x14ac:dyDescent="0.2">
      <c r="A12" s="225"/>
      <c r="B12" s="197"/>
      <c r="C12" s="197"/>
      <c r="D12" s="197"/>
      <c r="E12" s="197"/>
      <c r="F12" s="197"/>
      <c r="G12" s="197"/>
      <c r="H12" s="197"/>
      <c r="I12" s="197"/>
      <c r="J12" s="200"/>
    </row>
    <row r="13" spans="1:10" ht="48.75" customHeight="1" x14ac:dyDescent="0.2">
      <c r="A13" s="239" t="s">
        <v>401</v>
      </c>
      <c r="B13" s="197"/>
      <c r="C13" s="197"/>
      <c r="D13" s="197"/>
      <c r="E13" s="197"/>
      <c r="F13" s="197"/>
      <c r="G13" s="197"/>
      <c r="H13" s="197"/>
      <c r="I13" s="197"/>
      <c r="J13" s="200"/>
    </row>
    <row r="14" spans="1:10" ht="12.75" customHeight="1" x14ac:dyDescent="0.2">
      <c r="A14" s="225"/>
      <c r="B14" s="197"/>
      <c r="C14" s="197"/>
      <c r="D14" s="197"/>
      <c r="E14" s="197"/>
      <c r="F14" s="197"/>
      <c r="G14" s="197"/>
      <c r="H14" s="197"/>
      <c r="I14" s="197"/>
      <c r="J14" s="200"/>
    </row>
    <row r="15" spans="1:10" ht="15.75" customHeight="1" x14ac:dyDescent="0.2">
      <c r="A15" s="240" t="s">
        <v>233</v>
      </c>
      <c r="B15" s="197"/>
      <c r="C15" s="197"/>
      <c r="D15" s="197"/>
      <c r="E15" s="197"/>
      <c r="F15" s="197"/>
      <c r="G15" s="197"/>
      <c r="H15" s="197"/>
      <c r="I15" s="197"/>
      <c r="J15" s="200"/>
    </row>
    <row r="16" spans="1:10" ht="15.75" customHeight="1" x14ac:dyDescent="0.2">
      <c r="A16" s="87">
        <v>1</v>
      </c>
      <c r="B16" s="213" t="s">
        <v>234</v>
      </c>
      <c r="C16" s="197"/>
      <c r="D16" s="197"/>
      <c r="E16" s="197"/>
      <c r="F16" s="197"/>
      <c r="G16" s="200"/>
      <c r="H16" s="241" t="s">
        <v>209</v>
      </c>
      <c r="I16" s="197"/>
      <c r="J16" s="200"/>
    </row>
    <row r="17" spans="1:11" ht="15.75" customHeight="1" x14ac:dyDescent="0.2">
      <c r="A17" s="87">
        <v>2</v>
      </c>
      <c r="B17" s="213" t="s">
        <v>236</v>
      </c>
      <c r="C17" s="197"/>
      <c r="D17" s="197"/>
      <c r="E17" s="197"/>
      <c r="F17" s="197"/>
      <c r="G17" s="200"/>
      <c r="H17" s="266">
        <v>1578123</v>
      </c>
      <c r="I17" s="197"/>
      <c r="J17" s="200"/>
    </row>
    <row r="18" spans="1:11" ht="15.75" customHeight="1" x14ac:dyDescent="0.2">
      <c r="A18" s="87">
        <v>3</v>
      </c>
      <c r="B18" s="213" t="s">
        <v>238</v>
      </c>
      <c r="C18" s="197"/>
      <c r="D18" s="197"/>
      <c r="E18" s="197"/>
      <c r="F18" s="197"/>
      <c r="G18" s="200"/>
      <c r="H18" s="242">
        <v>1540.51</v>
      </c>
      <c r="I18" s="197"/>
      <c r="J18" s="200"/>
    </row>
    <row r="19" spans="1:11" ht="15.75" customHeight="1" x14ac:dyDescent="0.2">
      <c r="A19" s="87">
        <v>4</v>
      </c>
      <c r="B19" s="213" t="s">
        <v>239</v>
      </c>
      <c r="C19" s="197"/>
      <c r="D19" s="197"/>
      <c r="E19" s="197"/>
      <c r="F19" s="197"/>
      <c r="G19" s="200"/>
      <c r="H19" s="241" t="s">
        <v>402</v>
      </c>
      <c r="I19" s="197"/>
      <c r="J19" s="200"/>
    </row>
    <row r="20" spans="1:11" ht="15.75" customHeight="1" x14ac:dyDescent="0.2">
      <c r="A20" s="87">
        <v>5</v>
      </c>
      <c r="B20" s="213" t="s">
        <v>240</v>
      </c>
      <c r="C20" s="197"/>
      <c r="D20" s="197"/>
      <c r="E20" s="197"/>
      <c r="F20" s="197"/>
      <c r="G20" s="200"/>
      <c r="H20" s="241" t="s">
        <v>373</v>
      </c>
      <c r="I20" s="197"/>
      <c r="J20" s="200"/>
    </row>
    <row r="21" spans="1:11" ht="12.75" customHeight="1" x14ac:dyDescent="0.2">
      <c r="A21" s="225"/>
      <c r="B21" s="197"/>
      <c r="C21" s="197"/>
      <c r="D21" s="197"/>
      <c r="E21" s="197"/>
      <c r="F21" s="197"/>
      <c r="G21" s="197"/>
      <c r="H21" s="197"/>
      <c r="I21" s="197"/>
      <c r="J21" s="200"/>
    </row>
    <row r="22" spans="1:11" ht="20.25" customHeight="1" x14ac:dyDescent="0.2">
      <c r="A22" s="239" t="s">
        <v>242</v>
      </c>
      <c r="B22" s="197"/>
      <c r="C22" s="197"/>
      <c r="D22" s="197"/>
      <c r="E22" s="197"/>
      <c r="F22" s="197"/>
      <c r="G22" s="197"/>
      <c r="H22" s="197"/>
      <c r="I22" s="197"/>
      <c r="J22" s="200"/>
    </row>
    <row r="23" spans="1:11" ht="30" customHeight="1" x14ac:dyDescent="0.2">
      <c r="A23" s="113">
        <v>1</v>
      </c>
      <c r="B23" s="240" t="s">
        <v>243</v>
      </c>
      <c r="C23" s="197"/>
      <c r="D23" s="197"/>
      <c r="E23" s="197"/>
      <c r="F23" s="197"/>
      <c r="G23" s="200"/>
      <c r="H23" s="240" t="s">
        <v>244</v>
      </c>
      <c r="I23" s="200"/>
      <c r="J23" s="113" t="s">
        <v>245</v>
      </c>
    </row>
    <row r="24" spans="1:11" ht="12.75" customHeight="1" x14ac:dyDescent="0.2">
      <c r="A24" s="87" t="s">
        <v>185</v>
      </c>
      <c r="B24" s="213" t="s">
        <v>403</v>
      </c>
      <c r="C24" s="197"/>
      <c r="D24" s="197"/>
      <c r="E24" s="197"/>
      <c r="F24" s="197"/>
      <c r="G24" s="197"/>
      <c r="H24" s="197"/>
      <c r="I24" s="200"/>
      <c r="J24" s="114">
        <f>ROUND(((25/6)*30)*(H18/220),2)</f>
        <v>875.29</v>
      </c>
      <c r="K24" s="163"/>
    </row>
    <row r="25" spans="1:11" ht="12.75" customHeight="1" x14ac:dyDescent="0.2">
      <c r="A25" s="115" t="s">
        <v>187</v>
      </c>
      <c r="B25" s="213" t="s">
        <v>247</v>
      </c>
      <c r="C25" s="197"/>
      <c r="D25" s="197"/>
      <c r="E25" s="197"/>
      <c r="F25" s="197"/>
      <c r="G25" s="197"/>
      <c r="H25" s="200"/>
      <c r="I25" s="116">
        <v>0</v>
      </c>
      <c r="J25" s="114">
        <f>ROUND(I25*J24,2)</f>
        <v>0</v>
      </c>
      <c r="K25" s="163"/>
    </row>
    <row r="26" spans="1:11" ht="12.75" customHeight="1" x14ac:dyDescent="0.2">
      <c r="A26" s="115" t="s">
        <v>190</v>
      </c>
      <c r="B26" s="213" t="s">
        <v>248</v>
      </c>
      <c r="C26" s="197"/>
      <c r="D26" s="197"/>
      <c r="E26" s="197"/>
      <c r="F26" s="197"/>
      <c r="G26" s="197"/>
      <c r="H26" s="197"/>
      <c r="I26" s="200"/>
      <c r="J26" s="114"/>
      <c r="K26" s="163"/>
    </row>
    <row r="27" spans="1:11" ht="12.75" customHeight="1" x14ac:dyDescent="0.2">
      <c r="A27" s="115" t="s">
        <v>192</v>
      </c>
      <c r="B27" s="213" t="s">
        <v>249</v>
      </c>
      <c r="C27" s="197"/>
      <c r="D27" s="197"/>
      <c r="E27" s="197"/>
      <c r="F27" s="197"/>
      <c r="G27" s="197"/>
      <c r="H27" s="197"/>
      <c r="I27" s="200"/>
      <c r="J27" s="114"/>
      <c r="K27" s="163"/>
    </row>
    <row r="28" spans="1:11" ht="12.75" customHeight="1" x14ac:dyDescent="0.2">
      <c r="A28" s="115" t="s">
        <v>250</v>
      </c>
      <c r="B28" s="213" t="s">
        <v>251</v>
      </c>
      <c r="C28" s="197"/>
      <c r="D28" s="197"/>
      <c r="E28" s="197"/>
      <c r="F28" s="197"/>
      <c r="G28" s="197"/>
      <c r="H28" s="197"/>
      <c r="I28" s="200"/>
      <c r="J28" s="114"/>
      <c r="K28" s="163"/>
    </row>
    <row r="29" spans="1:11" ht="12.75" customHeight="1" x14ac:dyDescent="0.2">
      <c r="A29" s="87" t="s">
        <v>187</v>
      </c>
      <c r="B29" s="213" t="s">
        <v>252</v>
      </c>
      <c r="C29" s="197"/>
      <c r="D29" s="197"/>
      <c r="E29" s="197"/>
      <c r="F29" s="197"/>
      <c r="G29" s="197"/>
      <c r="H29" s="200"/>
      <c r="I29" s="117">
        <v>0.2</v>
      </c>
      <c r="J29" s="114">
        <f>ROUND(I29*J24,2)</f>
        <v>175.06</v>
      </c>
      <c r="K29" s="163"/>
    </row>
    <row r="30" spans="1:11" ht="15.75" customHeight="1" x14ac:dyDescent="0.2">
      <c r="A30" s="243" t="s">
        <v>253</v>
      </c>
      <c r="B30" s="197"/>
      <c r="C30" s="197"/>
      <c r="D30" s="197"/>
      <c r="E30" s="197"/>
      <c r="F30" s="197"/>
      <c r="G30" s="197"/>
      <c r="H30" s="197"/>
      <c r="I30" s="200"/>
      <c r="J30" s="118">
        <f>SUM(J24:J29)</f>
        <v>1050.3499999999999</v>
      </c>
    </row>
    <row r="31" spans="1:11" ht="12.75" customHeight="1" x14ac:dyDescent="0.2">
      <c r="A31" s="225"/>
      <c r="B31" s="197"/>
      <c r="C31" s="197"/>
      <c r="D31" s="197"/>
      <c r="E31" s="197"/>
      <c r="F31" s="197"/>
      <c r="G31" s="197"/>
      <c r="H31" s="197"/>
      <c r="I31" s="197"/>
      <c r="J31" s="200"/>
    </row>
    <row r="32" spans="1:11" ht="15.75" customHeight="1" x14ac:dyDescent="0.2">
      <c r="A32" s="226" t="s">
        <v>254</v>
      </c>
      <c r="B32" s="197"/>
      <c r="C32" s="197"/>
      <c r="D32" s="197"/>
      <c r="E32" s="197"/>
      <c r="F32" s="197"/>
      <c r="G32" s="197"/>
      <c r="H32" s="197"/>
      <c r="I32" s="197"/>
      <c r="J32" s="200"/>
    </row>
    <row r="33" spans="1:10" ht="15" customHeight="1" x14ac:dyDescent="0.2">
      <c r="A33" s="227" t="s">
        <v>404</v>
      </c>
      <c r="B33" s="197"/>
      <c r="C33" s="197"/>
      <c r="D33" s="197"/>
      <c r="E33" s="197"/>
      <c r="F33" s="197"/>
      <c r="G33" s="197"/>
      <c r="H33" s="197"/>
      <c r="I33" s="197"/>
      <c r="J33" s="200"/>
    </row>
    <row r="34" spans="1:10" ht="15" customHeight="1" x14ac:dyDescent="0.2">
      <c r="A34" s="119" t="s">
        <v>256</v>
      </c>
      <c r="B34" s="228" t="s">
        <v>405</v>
      </c>
      <c r="C34" s="197"/>
      <c r="D34" s="197"/>
      <c r="E34" s="197"/>
      <c r="F34" s="197"/>
      <c r="G34" s="197"/>
      <c r="H34" s="197"/>
      <c r="I34" s="200"/>
      <c r="J34" s="120" t="s">
        <v>258</v>
      </c>
    </row>
    <row r="35" spans="1:10" ht="27" customHeight="1" x14ac:dyDescent="0.2">
      <c r="A35" s="121" t="s">
        <v>185</v>
      </c>
      <c r="B35" s="213" t="s">
        <v>406</v>
      </c>
      <c r="C35" s="197"/>
      <c r="D35" s="197"/>
      <c r="E35" s="197"/>
      <c r="F35" s="197"/>
      <c r="G35" s="197"/>
      <c r="H35" s="200"/>
      <c r="I35" s="122">
        <v>8.3299999999999999E-2</v>
      </c>
      <c r="J35" s="123">
        <f t="shared" ref="J35:J36" si="0">ROUND($J$30*I35,2)</f>
        <v>87.49</v>
      </c>
    </row>
    <row r="36" spans="1:10" ht="36" customHeight="1" x14ac:dyDescent="0.2">
      <c r="A36" s="121" t="s">
        <v>187</v>
      </c>
      <c r="B36" s="229" t="s">
        <v>407</v>
      </c>
      <c r="C36" s="197"/>
      <c r="D36" s="197"/>
      <c r="E36" s="197"/>
      <c r="F36" s="197"/>
      <c r="G36" s="197"/>
      <c r="H36" s="200"/>
      <c r="I36" s="124">
        <v>3.0249999999999999E-2</v>
      </c>
      <c r="J36" s="123">
        <f t="shared" si="0"/>
        <v>31.77</v>
      </c>
    </row>
    <row r="37" spans="1:10" ht="12.75" customHeight="1" x14ac:dyDescent="0.2">
      <c r="A37" s="230" t="s">
        <v>261</v>
      </c>
      <c r="B37" s="197"/>
      <c r="C37" s="197"/>
      <c r="D37" s="197"/>
      <c r="E37" s="197"/>
      <c r="F37" s="197"/>
      <c r="G37" s="197"/>
      <c r="H37" s="197"/>
      <c r="I37" s="200"/>
      <c r="J37" s="123">
        <f>SUM(J35+J36)</f>
        <v>119.25999999999999</v>
      </c>
    </row>
    <row r="38" spans="1:10" ht="12.75" customHeight="1" x14ac:dyDescent="0.2">
      <c r="A38" s="125" t="s">
        <v>190</v>
      </c>
      <c r="B38" s="231" t="s">
        <v>262</v>
      </c>
      <c r="C38" s="197"/>
      <c r="D38" s="197"/>
      <c r="E38" s="197"/>
      <c r="F38" s="197"/>
      <c r="G38" s="197"/>
      <c r="H38" s="197"/>
      <c r="I38" s="200"/>
      <c r="J38" s="126">
        <f>ROUND(I51*J37,2)</f>
        <v>43.89</v>
      </c>
    </row>
    <row r="39" spans="1:10" ht="12.75" customHeight="1" x14ac:dyDescent="0.2">
      <c r="A39" s="232" t="s">
        <v>261</v>
      </c>
      <c r="B39" s="197"/>
      <c r="C39" s="197"/>
      <c r="D39" s="197"/>
      <c r="E39" s="197"/>
      <c r="F39" s="197"/>
      <c r="G39" s="197"/>
      <c r="H39" s="197"/>
      <c r="I39" s="200"/>
      <c r="J39" s="127">
        <f>J37+J38</f>
        <v>163.14999999999998</v>
      </c>
    </row>
    <row r="40" spans="1:10" ht="12.75" customHeight="1" x14ac:dyDescent="0.2">
      <c r="A40" s="225"/>
      <c r="B40" s="197"/>
      <c r="C40" s="197"/>
      <c r="D40" s="197"/>
      <c r="E40" s="197"/>
      <c r="F40" s="197"/>
      <c r="G40" s="197"/>
      <c r="H40" s="197"/>
      <c r="I40" s="197"/>
      <c r="J40" s="200"/>
    </row>
    <row r="41" spans="1:10" ht="30" customHeight="1" x14ac:dyDescent="0.2">
      <c r="A41" s="226" t="s">
        <v>263</v>
      </c>
      <c r="B41" s="197"/>
      <c r="C41" s="197"/>
      <c r="D41" s="197"/>
      <c r="E41" s="197"/>
      <c r="F41" s="197"/>
      <c r="G41" s="197"/>
      <c r="H41" s="197"/>
      <c r="I41" s="197"/>
      <c r="J41" s="200"/>
    </row>
    <row r="42" spans="1:10" ht="30" customHeight="1" x14ac:dyDescent="0.2">
      <c r="A42" s="128" t="s">
        <v>264</v>
      </c>
      <c r="B42" s="233" t="s">
        <v>265</v>
      </c>
      <c r="C42" s="197"/>
      <c r="D42" s="197"/>
      <c r="E42" s="197"/>
      <c r="F42" s="197"/>
      <c r="G42" s="197"/>
      <c r="H42" s="200"/>
      <c r="I42" s="113" t="s">
        <v>266</v>
      </c>
      <c r="J42" s="113" t="s">
        <v>267</v>
      </c>
    </row>
    <row r="43" spans="1:10" ht="12.75" customHeight="1" x14ac:dyDescent="0.2">
      <c r="A43" s="121" t="s">
        <v>185</v>
      </c>
      <c r="B43" s="231" t="s">
        <v>268</v>
      </c>
      <c r="C43" s="197"/>
      <c r="D43" s="197"/>
      <c r="E43" s="197"/>
      <c r="F43" s="197"/>
      <c r="G43" s="197"/>
      <c r="H43" s="200"/>
      <c r="I43" s="129">
        <v>0.2</v>
      </c>
      <c r="J43" s="130">
        <f t="shared" ref="J43:J50" si="1">ROUND($J$30*I43,2)</f>
        <v>210.07</v>
      </c>
    </row>
    <row r="44" spans="1:10" ht="12.75" customHeight="1" x14ac:dyDescent="0.2">
      <c r="A44" s="121" t="s">
        <v>187</v>
      </c>
      <c r="B44" s="231" t="s">
        <v>269</v>
      </c>
      <c r="C44" s="197"/>
      <c r="D44" s="197"/>
      <c r="E44" s="197"/>
      <c r="F44" s="197"/>
      <c r="G44" s="197"/>
      <c r="H44" s="200"/>
      <c r="I44" s="129">
        <v>2.5000000000000001E-2</v>
      </c>
      <c r="J44" s="130">
        <f t="shared" si="1"/>
        <v>26.26</v>
      </c>
    </row>
    <row r="45" spans="1:10" ht="12.75" customHeight="1" x14ac:dyDescent="0.2">
      <c r="A45" s="121" t="s">
        <v>190</v>
      </c>
      <c r="B45" s="231" t="s">
        <v>270</v>
      </c>
      <c r="C45" s="197"/>
      <c r="D45" s="200"/>
      <c r="E45" s="131" t="s">
        <v>271</v>
      </c>
      <c r="F45" s="132">
        <v>0.03</v>
      </c>
      <c r="G45" s="131" t="s">
        <v>272</v>
      </c>
      <c r="H45" s="133">
        <v>1</v>
      </c>
      <c r="I45" s="134">
        <f>ROUND((F45*H45),6)</f>
        <v>0.03</v>
      </c>
      <c r="J45" s="130">
        <f t="shared" si="1"/>
        <v>31.51</v>
      </c>
    </row>
    <row r="46" spans="1:10" ht="12.75" customHeight="1" x14ac:dyDescent="0.2">
      <c r="A46" s="121" t="s">
        <v>192</v>
      </c>
      <c r="B46" s="231" t="s">
        <v>273</v>
      </c>
      <c r="C46" s="197"/>
      <c r="D46" s="197"/>
      <c r="E46" s="197"/>
      <c r="F46" s="197"/>
      <c r="G46" s="197"/>
      <c r="H46" s="200"/>
      <c r="I46" s="129">
        <v>1.4999999999999999E-2</v>
      </c>
      <c r="J46" s="130">
        <f t="shared" si="1"/>
        <v>15.76</v>
      </c>
    </row>
    <row r="47" spans="1:10" ht="12.75" customHeight="1" x14ac:dyDescent="0.2">
      <c r="A47" s="121" t="s">
        <v>250</v>
      </c>
      <c r="B47" s="231" t="s">
        <v>274</v>
      </c>
      <c r="C47" s="197"/>
      <c r="D47" s="197"/>
      <c r="E47" s="197"/>
      <c r="F47" s="197"/>
      <c r="G47" s="197"/>
      <c r="H47" s="200"/>
      <c r="I47" s="129">
        <v>0.01</v>
      </c>
      <c r="J47" s="130">
        <f t="shared" si="1"/>
        <v>10.5</v>
      </c>
    </row>
    <row r="48" spans="1:10" ht="12.75" customHeight="1" x14ac:dyDescent="0.2">
      <c r="A48" s="121" t="s">
        <v>275</v>
      </c>
      <c r="B48" s="231" t="s">
        <v>276</v>
      </c>
      <c r="C48" s="197"/>
      <c r="D48" s="197"/>
      <c r="E48" s="197"/>
      <c r="F48" s="197"/>
      <c r="G48" s="197"/>
      <c r="H48" s="200"/>
      <c r="I48" s="129">
        <v>6.0000000000000001E-3</v>
      </c>
      <c r="J48" s="130">
        <f t="shared" si="1"/>
        <v>6.3</v>
      </c>
    </row>
    <row r="49" spans="1:11" ht="12.75" customHeight="1" x14ac:dyDescent="0.2">
      <c r="A49" s="121" t="s">
        <v>277</v>
      </c>
      <c r="B49" s="231" t="s">
        <v>278</v>
      </c>
      <c r="C49" s="197"/>
      <c r="D49" s="197"/>
      <c r="E49" s="197"/>
      <c r="F49" s="197"/>
      <c r="G49" s="197"/>
      <c r="H49" s="200"/>
      <c r="I49" s="129">
        <v>2E-3</v>
      </c>
      <c r="J49" s="130">
        <f t="shared" si="1"/>
        <v>2.1</v>
      </c>
    </row>
    <row r="50" spans="1:11" ht="12.75" customHeight="1" x14ac:dyDescent="0.2">
      <c r="A50" s="121" t="s">
        <v>279</v>
      </c>
      <c r="B50" s="231" t="s">
        <v>280</v>
      </c>
      <c r="C50" s="197"/>
      <c r="D50" s="197"/>
      <c r="E50" s="197"/>
      <c r="F50" s="197"/>
      <c r="G50" s="197"/>
      <c r="H50" s="200"/>
      <c r="I50" s="129">
        <v>0.08</v>
      </c>
      <c r="J50" s="130">
        <f t="shared" si="1"/>
        <v>84.03</v>
      </c>
    </row>
    <row r="51" spans="1:11" ht="12.75" customHeight="1" x14ac:dyDescent="0.2">
      <c r="A51" s="232" t="s">
        <v>261</v>
      </c>
      <c r="B51" s="197"/>
      <c r="C51" s="197"/>
      <c r="D51" s="197"/>
      <c r="E51" s="197"/>
      <c r="F51" s="197"/>
      <c r="G51" s="197"/>
      <c r="H51" s="200"/>
      <c r="I51" s="135">
        <f t="shared" ref="I51:J51" si="2">SUM(I43:I50)</f>
        <v>0.36800000000000005</v>
      </c>
      <c r="J51" s="127">
        <f t="shared" si="2"/>
        <v>386.53</v>
      </c>
    </row>
    <row r="52" spans="1:11" ht="12.75" customHeight="1" x14ac:dyDescent="0.2">
      <c r="A52" s="225"/>
      <c r="B52" s="197"/>
      <c r="C52" s="197"/>
      <c r="D52" s="197"/>
      <c r="E52" s="197"/>
      <c r="F52" s="197"/>
      <c r="G52" s="197"/>
      <c r="H52" s="197"/>
      <c r="I52" s="197"/>
      <c r="J52" s="200"/>
    </row>
    <row r="53" spans="1:11" ht="15.75" customHeight="1" x14ac:dyDescent="0.2">
      <c r="A53" s="226" t="s">
        <v>281</v>
      </c>
      <c r="B53" s="197"/>
      <c r="C53" s="197"/>
      <c r="D53" s="197"/>
      <c r="E53" s="197"/>
      <c r="F53" s="197"/>
      <c r="G53" s="197"/>
      <c r="H53" s="197"/>
      <c r="I53" s="197"/>
      <c r="J53" s="200"/>
    </row>
    <row r="54" spans="1:11" ht="15.75" customHeight="1" x14ac:dyDescent="0.2">
      <c r="A54" s="128" t="s">
        <v>282</v>
      </c>
      <c r="B54" s="233" t="s">
        <v>283</v>
      </c>
      <c r="C54" s="197"/>
      <c r="D54" s="197"/>
      <c r="E54" s="197"/>
      <c r="F54" s="197"/>
      <c r="G54" s="197"/>
      <c r="H54" s="197"/>
      <c r="I54" s="200"/>
      <c r="J54" s="113" t="s">
        <v>258</v>
      </c>
    </row>
    <row r="55" spans="1:11" ht="12.75" customHeight="1" x14ac:dyDescent="0.2">
      <c r="A55" s="121" t="s">
        <v>185</v>
      </c>
      <c r="B55" s="231" t="s">
        <v>408</v>
      </c>
      <c r="C55" s="197"/>
      <c r="D55" s="197"/>
      <c r="E55" s="197"/>
      <c r="F55" s="197"/>
      <c r="G55" s="197"/>
      <c r="H55" s="197"/>
      <c r="I55" s="200"/>
      <c r="J55" s="130">
        <f>IF(ROUND((I58*I56*I57)-(J24*I59),2)&lt;0,0,ROUND((I58*I56*I57)-(J24*I59),2))</f>
        <v>200.48</v>
      </c>
    </row>
    <row r="56" spans="1:11" ht="12.75" customHeight="1" x14ac:dyDescent="0.2">
      <c r="A56" s="121"/>
      <c r="B56" s="244" t="s">
        <v>285</v>
      </c>
      <c r="C56" s="197"/>
      <c r="D56" s="197"/>
      <c r="E56" s="197"/>
      <c r="F56" s="197"/>
      <c r="G56" s="197"/>
      <c r="H56" s="200"/>
      <c r="I56" s="136">
        <v>5.75</v>
      </c>
      <c r="J56" s="137" t="s">
        <v>286</v>
      </c>
    </row>
    <row r="57" spans="1:11" ht="12.75" customHeight="1" x14ac:dyDescent="0.2">
      <c r="A57" s="121"/>
      <c r="B57" s="244" t="s">
        <v>287</v>
      </c>
      <c r="C57" s="197"/>
      <c r="D57" s="197"/>
      <c r="E57" s="197"/>
      <c r="F57" s="197"/>
      <c r="G57" s="197"/>
      <c r="H57" s="200"/>
      <c r="I57" s="138">
        <v>2</v>
      </c>
      <c r="J57" s="137"/>
    </row>
    <row r="58" spans="1:11" ht="12.75" customHeight="1" x14ac:dyDescent="0.2">
      <c r="A58" s="121"/>
      <c r="B58" s="244" t="s">
        <v>288</v>
      </c>
      <c r="C58" s="197"/>
      <c r="D58" s="197"/>
      <c r="E58" s="197"/>
      <c r="F58" s="197"/>
      <c r="G58" s="197"/>
      <c r="H58" s="200"/>
      <c r="I58" s="139">
        <v>22</v>
      </c>
      <c r="J58" s="137"/>
    </row>
    <row r="59" spans="1:11" ht="12.75" customHeight="1" x14ac:dyDescent="0.2">
      <c r="A59" s="121"/>
      <c r="B59" s="244" t="s">
        <v>380</v>
      </c>
      <c r="C59" s="197"/>
      <c r="D59" s="197"/>
      <c r="E59" s="197"/>
      <c r="F59" s="197"/>
      <c r="G59" s="197"/>
      <c r="H59" s="200"/>
      <c r="I59" s="140">
        <v>0.06</v>
      </c>
      <c r="J59" s="137"/>
    </row>
    <row r="60" spans="1:11" ht="12.75" customHeight="1" x14ac:dyDescent="0.2">
      <c r="A60" s="121" t="s">
        <v>187</v>
      </c>
      <c r="B60" s="231" t="s">
        <v>409</v>
      </c>
      <c r="C60" s="197"/>
      <c r="D60" s="197"/>
      <c r="E60" s="197"/>
      <c r="F60" s="197"/>
      <c r="G60" s="197"/>
      <c r="H60" s="197"/>
      <c r="I60" s="200"/>
      <c r="J60" s="130">
        <f>ROUND(I62*I61*(1-I63),2)</f>
        <v>210.99</v>
      </c>
      <c r="K60" s="163"/>
    </row>
    <row r="61" spans="1:11" ht="12.75" customHeight="1" x14ac:dyDescent="0.2">
      <c r="A61" s="121"/>
      <c r="B61" s="244" t="s">
        <v>382</v>
      </c>
      <c r="C61" s="197"/>
      <c r="D61" s="197"/>
      <c r="E61" s="197"/>
      <c r="F61" s="197"/>
      <c r="G61" s="197"/>
      <c r="H61" s="200"/>
      <c r="I61" s="136">
        <v>11.84</v>
      </c>
      <c r="J61" s="137" t="s">
        <v>286</v>
      </c>
    </row>
    <row r="62" spans="1:11" ht="12.75" customHeight="1" x14ac:dyDescent="0.2">
      <c r="A62" s="141"/>
      <c r="B62" s="244" t="s">
        <v>383</v>
      </c>
      <c r="C62" s="197"/>
      <c r="D62" s="197"/>
      <c r="E62" s="197"/>
      <c r="F62" s="197"/>
      <c r="G62" s="197"/>
      <c r="H62" s="200"/>
      <c r="I62" s="139">
        <v>22</v>
      </c>
      <c r="J62" s="137"/>
    </row>
    <row r="63" spans="1:11" ht="12.75" customHeight="1" x14ac:dyDescent="0.2">
      <c r="A63" s="141"/>
      <c r="B63" s="244" t="s">
        <v>383</v>
      </c>
      <c r="C63" s="197"/>
      <c r="D63" s="197"/>
      <c r="E63" s="197"/>
      <c r="F63" s="197"/>
      <c r="G63" s="197"/>
      <c r="H63" s="200"/>
      <c r="I63" s="142">
        <v>0.19</v>
      </c>
      <c r="J63" s="137"/>
    </row>
    <row r="64" spans="1:11" ht="12.75" customHeight="1" x14ac:dyDescent="0.2">
      <c r="A64" s="121" t="s">
        <v>190</v>
      </c>
      <c r="B64" s="213" t="s">
        <v>293</v>
      </c>
      <c r="C64" s="197"/>
      <c r="D64" s="197"/>
      <c r="E64" s="197"/>
      <c r="F64" s="197"/>
      <c r="G64" s="197"/>
      <c r="H64" s="197"/>
      <c r="I64" s="200"/>
      <c r="J64" s="130">
        <v>0</v>
      </c>
    </row>
    <row r="65" spans="1:10" ht="12.75" customHeight="1" x14ac:dyDescent="0.2">
      <c r="A65" s="121" t="s">
        <v>192</v>
      </c>
      <c r="B65" s="213" t="s">
        <v>384</v>
      </c>
      <c r="C65" s="197"/>
      <c r="D65" s="197"/>
      <c r="E65" s="197"/>
      <c r="F65" s="197"/>
      <c r="G65" s="197"/>
      <c r="H65" s="197"/>
      <c r="I65" s="200"/>
      <c r="J65" s="152">
        <v>19.420000000000002</v>
      </c>
    </row>
    <row r="66" spans="1:10" ht="12.75" customHeight="1" x14ac:dyDescent="0.2">
      <c r="A66" s="232" t="s">
        <v>253</v>
      </c>
      <c r="B66" s="197"/>
      <c r="C66" s="197"/>
      <c r="D66" s="197"/>
      <c r="E66" s="197"/>
      <c r="F66" s="197"/>
      <c r="G66" s="197"/>
      <c r="H66" s="197"/>
      <c r="I66" s="200"/>
      <c r="J66" s="127">
        <f>SUM(J55:J65)</f>
        <v>430.89000000000004</v>
      </c>
    </row>
    <row r="67" spans="1:10" ht="12.75" customHeight="1" x14ac:dyDescent="0.2">
      <c r="A67" s="225"/>
      <c r="B67" s="197"/>
      <c r="C67" s="197"/>
      <c r="D67" s="197"/>
      <c r="E67" s="197"/>
      <c r="F67" s="197"/>
      <c r="G67" s="197"/>
      <c r="H67" s="197"/>
      <c r="I67" s="197"/>
      <c r="J67" s="200"/>
    </row>
    <row r="68" spans="1:10" ht="15.75" customHeight="1" x14ac:dyDescent="0.2">
      <c r="A68" s="226" t="s">
        <v>294</v>
      </c>
      <c r="B68" s="197"/>
      <c r="C68" s="197"/>
      <c r="D68" s="197"/>
      <c r="E68" s="197"/>
      <c r="F68" s="197"/>
      <c r="G68" s="197"/>
      <c r="H68" s="197"/>
      <c r="I68" s="197"/>
      <c r="J68" s="200"/>
    </row>
    <row r="69" spans="1:10" ht="15.75" customHeight="1" x14ac:dyDescent="0.2">
      <c r="A69" s="113">
        <v>2</v>
      </c>
      <c r="B69" s="240" t="s">
        <v>295</v>
      </c>
      <c r="C69" s="197"/>
      <c r="D69" s="197"/>
      <c r="E69" s="197"/>
      <c r="F69" s="197"/>
      <c r="G69" s="197"/>
      <c r="H69" s="197"/>
      <c r="I69" s="200"/>
      <c r="J69" s="113" t="s">
        <v>258</v>
      </c>
    </row>
    <row r="70" spans="1:10" ht="14.25" customHeight="1" x14ac:dyDescent="0.2">
      <c r="A70" s="87" t="s">
        <v>256</v>
      </c>
      <c r="B70" s="87"/>
      <c r="C70" s="213" t="s">
        <v>410</v>
      </c>
      <c r="D70" s="197"/>
      <c r="E70" s="197"/>
      <c r="F70" s="197"/>
      <c r="G70" s="197"/>
      <c r="H70" s="197"/>
      <c r="I70" s="200"/>
      <c r="J70" s="143">
        <f>J39</f>
        <v>163.14999999999998</v>
      </c>
    </row>
    <row r="71" spans="1:10" ht="14.25" customHeight="1" x14ac:dyDescent="0.2">
      <c r="A71" s="87" t="s">
        <v>264</v>
      </c>
      <c r="B71" s="87"/>
      <c r="C71" s="213" t="s">
        <v>265</v>
      </c>
      <c r="D71" s="197"/>
      <c r="E71" s="197"/>
      <c r="F71" s="197"/>
      <c r="G71" s="197"/>
      <c r="H71" s="197"/>
      <c r="I71" s="200"/>
      <c r="J71" s="143">
        <f>J51</f>
        <v>386.53</v>
      </c>
    </row>
    <row r="72" spans="1:10" ht="14.25" customHeight="1" x14ac:dyDescent="0.2">
      <c r="A72" s="87" t="s">
        <v>282</v>
      </c>
      <c r="B72" s="87"/>
      <c r="C72" s="213" t="s">
        <v>283</v>
      </c>
      <c r="D72" s="197"/>
      <c r="E72" s="197"/>
      <c r="F72" s="197"/>
      <c r="G72" s="197"/>
      <c r="H72" s="197"/>
      <c r="I72" s="200"/>
      <c r="J72" s="143">
        <f>J66</f>
        <v>430.89000000000004</v>
      </c>
    </row>
    <row r="73" spans="1:10" ht="14.25" customHeight="1" x14ac:dyDescent="0.2">
      <c r="A73" s="243" t="s">
        <v>261</v>
      </c>
      <c r="B73" s="197"/>
      <c r="C73" s="197"/>
      <c r="D73" s="197"/>
      <c r="E73" s="197"/>
      <c r="F73" s="197"/>
      <c r="G73" s="197"/>
      <c r="H73" s="197"/>
      <c r="I73" s="200"/>
      <c r="J73" s="144">
        <f>SUM(J70+J71+J72)</f>
        <v>980.56999999999994</v>
      </c>
    </row>
    <row r="74" spans="1:10" ht="12.75" customHeight="1" x14ac:dyDescent="0.2">
      <c r="A74" s="225"/>
      <c r="B74" s="197"/>
      <c r="C74" s="197"/>
      <c r="D74" s="197"/>
      <c r="E74" s="197"/>
      <c r="F74" s="197"/>
      <c r="G74" s="197"/>
      <c r="H74" s="197"/>
      <c r="I74" s="197"/>
      <c r="J74" s="200"/>
    </row>
    <row r="75" spans="1:10" ht="15.75" customHeight="1" x14ac:dyDescent="0.2">
      <c r="A75" s="226" t="s">
        <v>297</v>
      </c>
      <c r="B75" s="197"/>
      <c r="C75" s="197"/>
      <c r="D75" s="197"/>
      <c r="E75" s="197"/>
      <c r="F75" s="197"/>
      <c r="G75" s="197"/>
      <c r="H75" s="197"/>
      <c r="I75" s="197"/>
      <c r="J75" s="200"/>
    </row>
    <row r="76" spans="1:10" ht="15.75" customHeight="1" x14ac:dyDescent="0.2">
      <c r="A76" s="128">
        <v>3</v>
      </c>
      <c r="B76" s="240" t="s">
        <v>298</v>
      </c>
      <c r="C76" s="197"/>
      <c r="D76" s="197"/>
      <c r="E76" s="197"/>
      <c r="F76" s="197"/>
      <c r="G76" s="197"/>
      <c r="H76" s="197"/>
      <c r="I76" s="200"/>
      <c r="J76" s="128" t="s">
        <v>299</v>
      </c>
    </row>
    <row r="77" spans="1:10" ht="46.5" customHeight="1" x14ac:dyDescent="0.2">
      <c r="A77" s="121" t="s">
        <v>185</v>
      </c>
      <c r="B77" s="213" t="s">
        <v>411</v>
      </c>
      <c r="C77" s="197"/>
      <c r="D77" s="197"/>
      <c r="E77" s="197"/>
      <c r="F77" s="197"/>
      <c r="G77" s="197"/>
      <c r="H77" s="197"/>
      <c r="I77" s="200"/>
      <c r="J77" s="130">
        <f>ROUND((($J$30/12)+($J$35/12)+($J$30*0.121/12))*(30/30)*0.05,2)</f>
        <v>5.27</v>
      </c>
    </row>
    <row r="78" spans="1:10" ht="14.25" customHeight="1" x14ac:dyDescent="0.2">
      <c r="A78" s="121" t="s">
        <v>187</v>
      </c>
      <c r="B78" s="213" t="s">
        <v>301</v>
      </c>
      <c r="C78" s="197"/>
      <c r="D78" s="197"/>
      <c r="E78" s="197"/>
      <c r="F78" s="197"/>
      <c r="G78" s="197"/>
      <c r="H78" s="197"/>
      <c r="I78" s="200"/>
      <c r="J78" s="130">
        <f>ROUND($J$77*I50,2)</f>
        <v>0.42</v>
      </c>
    </row>
    <row r="79" spans="1:10" ht="27" customHeight="1" x14ac:dyDescent="0.2">
      <c r="A79" s="121" t="s">
        <v>190</v>
      </c>
      <c r="B79" s="213" t="s">
        <v>412</v>
      </c>
      <c r="C79" s="197"/>
      <c r="D79" s="197"/>
      <c r="E79" s="197"/>
      <c r="F79" s="197"/>
      <c r="G79" s="197"/>
      <c r="H79" s="197"/>
      <c r="I79" s="200"/>
      <c r="J79" s="130">
        <f>ROUND(((($J$30/30)*7)/$H$11)*1,2)</f>
        <v>4.08</v>
      </c>
    </row>
    <row r="80" spans="1:10" ht="14.25" customHeight="1" x14ac:dyDescent="0.2">
      <c r="A80" s="121" t="s">
        <v>192</v>
      </c>
      <c r="B80" s="213" t="s">
        <v>303</v>
      </c>
      <c r="C80" s="197"/>
      <c r="D80" s="197"/>
      <c r="E80" s="197"/>
      <c r="F80" s="197"/>
      <c r="G80" s="197"/>
      <c r="H80" s="197"/>
      <c r="I80" s="200"/>
      <c r="J80" s="130">
        <f>ROUND($I$51*J79,2)</f>
        <v>1.5</v>
      </c>
    </row>
    <row r="81" spans="1:11" ht="36" customHeight="1" x14ac:dyDescent="0.2">
      <c r="A81" s="121" t="s">
        <v>250</v>
      </c>
      <c r="B81" s="213" t="s">
        <v>413</v>
      </c>
      <c r="C81" s="197"/>
      <c r="D81" s="197"/>
      <c r="E81" s="197"/>
      <c r="F81" s="197"/>
      <c r="G81" s="197"/>
      <c r="H81" s="200"/>
      <c r="I81" s="145">
        <v>0.04</v>
      </c>
      <c r="J81" s="130">
        <f>ROUND($J$30*I81,2)</f>
        <v>42.01</v>
      </c>
    </row>
    <row r="82" spans="1:11" ht="12.75" customHeight="1" x14ac:dyDescent="0.2">
      <c r="A82" s="232" t="s">
        <v>261</v>
      </c>
      <c r="B82" s="197"/>
      <c r="C82" s="197"/>
      <c r="D82" s="197"/>
      <c r="E82" s="197"/>
      <c r="F82" s="197"/>
      <c r="G82" s="197"/>
      <c r="H82" s="197"/>
      <c r="I82" s="200"/>
      <c r="J82" s="127">
        <f>SUM(J77:J81)</f>
        <v>53.28</v>
      </c>
    </row>
    <row r="83" spans="1:11" ht="12.75" customHeight="1" x14ac:dyDescent="0.2">
      <c r="A83" s="225"/>
      <c r="B83" s="197"/>
      <c r="C83" s="197"/>
      <c r="D83" s="197"/>
      <c r="E83" s="197"/>
      <c r="F83" s="197"/>
      <c r="G83" s="197"/>
      <c r="H83" s="197"/>
      <c r="I83" s="197"/>
      <c r="J83" s="200"/>
    </row>
    <row r="84" spans="1:11" ht="15.75" customHeight="1" x14ac:dyDescent="0.2">
      <c r="A84" s="226" t="s">
        <v>305</v>
      </c>
      <c r="B84" s="197"/>
      <c r="C84" s="197"/>
      <c r="D84" s="197"/>
      <c r="E84" s="197"/>
      <c r="F84" s="197"/>
      <c r="G84" s="197"/>
      <c r="H84" s="197"/>
      <c r="I84" s="197"/>
      <c r="J84" s="200"/>
    </row>
    <row r="85" spans="1:11" ht="15" customHeight="1" x14ac:dyDescent="0.2">
      <c r="A85" s="245" t="s">
        <v>306</v>
      </c>
      <c r="B85" s="197"/>
      <c r="C85" s="197"/>
      <c r="D85" s="197"/>
      <c r="E85" s="197"/>
      <c r="F85" s="197"/>
      <c r="G85" s="197"/>
      <c r="H85" s="197"/>
      <c r="I85" s="200"/>
      <c r="J85" s="146">
        <f>J88+J30+J35+J36</f>
        <v>1264.9299999999998</v>
      </c>
    </row>
    <row r="86" spans="1:11" ht="14.25" customHeight="1" x14ac:dyDescent="0.2">
      <c r="A86" s="246"/>
      <c r="B86" s="197"/>
      <c r="C86" s="197"/>
      <c r="D86" s="197"/>
      <c r="E86" s="197"/>
      <c r="F86" s="197"/>
      <c r="G86" s="197"/>
      <c r="H86" s="197"/>
      <c r="I86" s="197"/>
      <c r="J86" s="200"/>
    </row>
    <row r="87" spans="1:11" ht="15" customHeight="1" x14ac:dyDescent="0.25">
      <c r="A87" s="147" t="s">
        <v>307</v>
      </c>
      <c r="B87" s="233" t="s">
        <v>308</v>
      </c>
      <c r="C87" s="197"/>
      <c r="D87" s="197"/>
      <c r="E87" s="197"/>
      <c r="F87" s="197"/>
      <c r="G87" s="197"/>
      <c r="H87" s="197"/>
      <c r="I87" s="200"/>
      <c r="J87" s="147" t="s">
        <v>258</v>
      </c>
    </row>
    <row r="88" spans="1:11" ht="12.75" customHeight="1" x14ac:dyDescent="0.2">
      <c r="A88" s="125" t="s">
        <v>185</v>
      </c>
      <c r="B88" s="213" t="s">
        <v>309</v>
      </c>
      <c r="C88" s="197"/>
      <c r="D88" s="197"/>
      <c r="E88" s="197"/>
      <c r="F88" s="197"/>
      <c r="G88" s="197"/>
      <c r="H88" s="200"/>
      <c r="I88" s="124">
        <v>9.0749999999999997E-2</v>
      </c>
      <c r="J88" s="130">
        <f>ROUND(($J$30*I88),2)</f>
        <v>95.32</v>
      </c>
    </row>
    <row r="89" spans="1:11" ht="12.75" customHeight="1" x14ac:dyDescent="0.2">
      <c r="A89" s="125" t="s">
        <v>187</v>
      </c>
      <c r="B89" s="231" t="s">
        <v>414</v>
      </c>
      <c r="C89" s="197"/>
      <c r="D89" s="197"/>
      <c r="E89" s="197"/>
      <c r="F89" s="197"/>
      <c r="G89" s="197"/>
      <c r="H89" s="197"/>
      <c r="I89" s="200"/>
      <c r="J89" s="148">
        <f>ROUND((($J$85/30)*2.96)/12,2)</f>
        <v>10.4</v>
      </c>
    </row>
    <row r="90" spans="1:11" ht="12.75" customHeight="1" x14ac:dyDescent="0.2">
      <c r="A90" s="125" t="s">
        <v>190</v>
      </c>
      <c r="B90" s="231" t="s">
        <v>415</v>
      </c>
      <c r="C90" s="197"/>
      <c r="D90" s="197"/>
      <c r="E90" s="197"/>
      <c r="F90" s="197"/>
      <c r="G90" s="197"/>
      <c r="H90" s="197"/>
      <c r="I90" s="200"/>
      <c r="J90" s="148">
        <f>ROUND((($J$85/30)*5)/12*0.015,2)</f>
        <v>0.26</v>
      </c>
    </row>
    <row r="91" spans="1:11" ht="12.75" customHeight="1" x14ac:dyDescent="0.2">
      <c r="A91" s="125" t="s">
        <v>192</v>
      </c>
      <c r="B91" s="231" t="s">
        <v>416</v>
      </c>
      <c r="C91" s="197"/>
      <c r="D91" s="197"/>
      <c r="E91" s="197"/>
      <c r="F91" s="197"/>
      <c r="G91" s="197"/>
      <c r="H91" s="197"/>
      <c r="I91" s="200"/>
      <c r="J91" s="126">
        <f>ROUND(((($J$85/30)*0.97)/12),2)</f>
        <v>3.41</v>
      </c>
    </row>
    <row r="92" spans="1:11" ht="12.75" customHeight="1" x14ac:dyDescent="0.2">
      <c r="A92" s="125" t="s">
        <v>250</v>
      </c>
      <c r="B92" s="213" t="s">
        <v>417</v>
      </c>
      <c r="C92" s="197"/>
      <c r="D92" s="197"/>
      <c r="E92" s="197"/>
      <c r="F92" s="197"/>
      <c r="G92" s="197"/>
      <c r="H92" s="197"/>
      <c r="I92" s="200"/>
      <c r="J92" s="130">
        <f>ROUND(((((J30*0.121)+(I51)*(J30*0.121))*(4/12)))*0.02,2)+ROUND(((I50*J30+I51*J35+J66-J55-J60+J82)*4/12)*0.02,2)</f>
        <v>2.42</v>
      </c>
      <c r="K92" s="164"/>
    </row>
    <row r="93" spans="1:11" ht="12.75" customHeight="1" x14ac:dyDescent="0.2">
      <c r="A93" s="149" t="s">
        <v>275</v>
      </c>
      <c r="B93" s="247" t="s">
        <v>418</v>
      </c>
      <c r="C93" s="197"/>
      <c r="D93" s="197"/>
      <c r="E93" s="197"/>
      <c r="F93" s="197"/>
      <c r="G93" s="197"/>
      <c r="H93" s="197"/>
      <c r="I93" s="200"/>
      <c r="J93" s="126">
        <f>ROUND(((($J$85/30)*3)/12),2)</f>
        <v>10.54</v>
      </c>
    </row>
    <row r="94" spans="1:11" ht="12.75" customHeight="1" x14ac:dyDescent="0.2">
      <c r="A94" s="232" t="s">
        <v>261</v>
      </c>
      <c r="B94" s="197"/>
      <c r="C94" s="197"/>
      <c r="D94" s="197"/>
      <c r="E94" s="197"/>
      <c r="F94" s="197"/>
      <c r="G94" s="197"/>
      <c r="H94" s="197"/>
      <c r="I94" s="200"/>
      <c r="J94" s="150">
        <f>SUM(J88:J93)</f>
        <v>122.35</v>
      </c>
    </row>
    <row r="95" spans="1:11" ht="14.25" customHeight="1" x14ac:dyDescent="0.2">
      <c r="A95" s="125" t="s">
        <v>277</v>
      </c>
      <c r="B95" s="231" t="s">
        <v>315</v>
      </c>
      <c r="C95" s="197"/>
      <c r="D95" s="197"/>
      <c r="E95" s="197"/>
      <c r="F95" s="197"/>
      <c r="G95" s="197"/>
      <c r="H95" s="197"/>
      <c r="I95" s="200"/>
      <c r="J95" s="126">
        <f>ROUND(I51*J94,2)</f>
        <v>45.02</v>
      </c>
    </row>
    <row r="96" spans="1:11" ht="12.75" customHeight="1" x14ac:dyDescent="0.2">
      <c r="A96" s="232" t="s">
        <v>261</v>
      </c>
      <c r="B96" s="197"/>
      <c r="C96" s="197"/>
      <c r="D96" s="197"/>
      <c r="E96" s="197"/>
      <c r="F96" s="197"/>
      <c r="G96" s="197"/>
      <c r="H96" s="197"/>
      <c r="I96" s="200"/>
      <c r="J96" s="127">
        <f>SUM(J94:J95)</f>
        <v>167.37</v>
      </c>
    </row>
    <row r="97" spans="1:10" ht="15.75" customHeight="1" x14ac:dyDescent="0.2">
      <c r="A97" s="226" t="s">
        <v>316</v>
      </c>
      <c r="B97" s="197"/>
      <c r="C97" s="197"/>
      <c r="D97" s="197"/>
      <c r="E97" s="197"/>
      <c r="F97" s="197"/>
      <c r="G97" s="197"/>
      <c r="H97" s="197"/>
      <c r="I97" s="197"/>
      <c r="J97" s="200"/>
    </row>
    <row r="98" spans="1:10" ht="15" customHeight="1" x14ac:dyDescent="0.2">
      <c r="A98" s="128" t="s">
        <v>317</v>
      </c>
      <c r="B98" s="233" t="s">
        <v>318</v>
      </c>
      <c r="C98" s="197"/>
      <c r="D98" s="197"/>
      <c r="E98" s="197"/>
      <c r="F98" s="197"/>
      <c r="G98" s="197"/>
      <c r="H98" s="197"/>
      <c r="I98" s="200"/>
      <c r="J98" s="151" t="s">
        <v>258</v>
      </c>
    </row>
    <row r="99" spans="1:10" ht="12.75" customHeight="1" x14ac:dyDescent="0.2">
      <c r="A99" s="121" t="s">
        <v>185</v>
      </c>
      <c r="B99" s="231" t="s">
        <v>319</v>
      </c>
      <c r="C99" s="197"/>
      <c r="D99" s="197"/>
      <c r="E99" s="197"/>
      <c r="F99" s="197"/>
      <c r="G99" s="197"/>
      <c r="H99" s="197"/>
      <c r="I99" s="200"/>
      <c r="J99" s="130">
        <v>0</v>
      </c>
    </row>
    <row r="100" spans="1:10" ht="12.75" customHeight="1" x14ac:dyDescent="0.2">
      <c r="A100" s="248" t="s">
        <v>261</v>
      </c>
      <c r="B100" s="197"/>
      <c r="C100" s="197"/>
      <c r="D100" s="197"/>
      <c r="E100" s="197"/>
      <c r="F100" s="197"/>
      <c r="G100" s="197"/>
      <c r="H100" s="197"/>
      <c r="I100" s="200"/>
      <c r="J100" s="130">
        <v>0</v>
      </c>
    </row>
    <row r="101" spans="1:10" ht="12.75" customHeight="1" x14ac:dyDescent="0.2">
      <c r="A101" s="125" t="s">
        <v>187</v>
      </c>
      <c r="B101" s="231" t="s">
        <v>320</v>
      </c>
      <c r="C101" s="197"/>
      <c r="D101" s="197"/>
      <c r="E101" s="197"/>
      <c r="F101" s="197"/>
      <c r="G101" s="197"/>
      <c r="H101" s="197"/>
      <c r="I101" s="200"/>
      <c r="J101" s="126">
        <f>ROUND(I51*J100,2)</f>
        <v>0</v>
      </c>
    </row>
    <row r="102" spans="1:10" ht="12.75" customHeight="1" x14ac:dyDescent="0.2">
      <c r="A102" s="232" t="s">
        <v>261</v>
      </c>
      <c r="B102" s="197"/>
      <c r="C102" s="197"/>
      <c r="D102" s="197"/>
      <c r="E102" s="197"/>
      <c r="F102" s="197"/>
      <c r="G102" s="197"/>
      <c r="H102" s="197"/>
      <c r="I102" s="200"/>
      <c r="J102" s="127">
        <f>SUM(J100:J101)</f>
        <v>0</v>
      </c>
    </row>
    <row r="103" spans="1:10" ht="12.75" customHeight="1" x14ac:dyDescent="0.2">
      <c r="A103" s="256"/>
      <c r="B103" s="197"/>
      <c r="C103" s="197"/>
      <c r="D103" s="197"/>
      <c r="E103" s="197"/>
      <c r="F103" s="197"/>
      <c r="G103" s="197"/>
      <c r="H103" s="197"/>
      <c r="I103" s="197"/>
      <c r="J103" s="200"/>
    </row>
    <row r="104" spans="1:10" ht="15.75" customHeight="1" x14ac:dyDescent="0.2">
      <c r="A104" s="226" t="s">
        <v>321</v>
      </c>
      <c r="B104" s="197"/>
      <c r="C104" s="197"/>
      <c r="D104" s="197"/>
      <c r="E104" s="197"/>
      <c r="F104" s="197"/>
      <c r="G104" s="197"/>
      <c r="H104" s="197"/>
      <c r="I104" s="197"/>
      <c r="J104" s="200"/>
    </row>
    <row r="105" spans="1:10" ht="15.75" customHeight="1" x14ac:dyDescent="0.2">
      <c r="A105" s="113">
        <v>4</v>
      </c>
      <c r="B105" s="240" t="s">
        <v>322</v>
      </c>
      <c r="C105" s="197"/>
      <c r="D105" s="197"/>
      <c r="E105" s="197"/>
      <c r="F105" s="197"/>
      <c r="G105" s="197"/>
      <c r="H105" s="197"/>
      <c r="I105" s="200"/>
      <c r="J105" s="151" t="s">
        <v>258</v>
      </c>
    </row>
    <row r="106" spans="1:10" ht="14.25" customHeight="1" x14ac:dyDescent="0.2">
      <c r="A106" s="87" t="s">
        <v>307</v>
      </c>
      <c r="B106" s="213" t="s">
        <v>323</v>
      </c>
      <c r="C106" s="197"/>
      <c r="D106" s="197"/>
      <c r="E106" s="197"/>
      <c r="F106" s="197"/>
      <c r="G106" s="197"/>
      <c r="H106" s="197"/>
      <c r="I106" s="200"/>
      <c r="J106" s="130">
        <f>J96</f>
        <v>167.37</v>
      </c>
    </row>
    <row r="107" spans="1:10" ht="14.25" customHeight="1" x14ac:dyDescent="0.2">
      <c r="A107" s="87" t="s">
        <v>324</v>
      </c>
      <c r="B107" s="213" t="s">
        <v>325</v>
      </c>
      <c r="C107" s="197"/>
      <c r="D107" s="197"/>
      <c r="E107" s="197"/>
      <c r="F107" s="197"/>
      <c r="G107" s="197"/>
      <c r="H107" s="197"/>
      <c r="I107" s="200"/>
      <c r="J107" s="130">
        <f>J102</f>
        <v>0</v>
      </c>
    </row>
    <row r="108" spans="1:10" ht="14.25" customHeight="1" x14ac:dyDescent="0.2">
      <c r="A108" s="243" t="s">
        <v>261</v>
      </c>
      <c r="B108" s="197"/>
      <c r="C108" s="197"/>
      <c r="D108" s="197"/>
      <c r="E108" s="197"/>
      <c r="F108" s="197"/>
      <c r="G108" s="197"/>
      <c r="H108" s="197"/>
      <c r="I108" s="200"/>
      <c r="J108" s="127">
        <f>SUM(J106+J107)</f>
        <v>167.37</v>
      </c>
    </row>
    <row r="109" spans="1:10" ht="12.75" customHeight="1" x14ac:dyDescent="0.2">
      <c r="A109" s="225"/>
      <c r="B109" s="197"/>
      <c r="C109" s="197"/>
      <c r="D109" s="197"/>
      <c r="E109" s="197"/>
      <c r="F109" s="197"/>
      <c r="G109" s="197"/>
      <c r="H109" s="197"/>
      <c r="I109" s="197"/>
      <c r="J109" s="200"/>
    </row>
    <row r="110" spans="1:10" ht="15.75" customHeight="1" x14ac:dyDescent="0.2">
      <c r="A110" s="226" t="s">
        <v>326</v>
      </c>
      <c r="B110" s="197"/>
      <c r="C110" s="197"/>
      <c r="D110" s="197"/>
      <c r="E110" s="197"/>
      <c r="F110" s="197"/>
      <c r="G110" s="197"/>
      <c r="H110" s="197"/>
      <c r="I110" s="197"/>
      <c r="J110" s="200"/>
    </row>
    <row r="111" spans="1:10" ht="15.75" customHeight="1" x14ac:dyDescent="0.2">
      <c r="A111" s="128">
        <v>5</v>
      </c>
      <c r="B111" s="233" t="s">
        <v>327</v>
      </c>
      <c r="C111" s="197"/>
      <c r="D111" s="197"/>
      <c r="E111" s="197"/>
      <c r="F111" s="197"/>
      <c r="G111" s="197"/>
      <c r="H111" s="197"/>
      <c r="I111" s="200"/>
      <c r="J111" s="128" t="s">
        <v>258</v>
      </c>
    </row>
    <row r="112" spans="1:10" ht="12.75" customHeight="1" x14ac:dyDescent="0.2">
      <c r="A112" s="121" t="s">
        <v>185</v>
      </c>
      <c r="B112" s="231" t="s">
        <v>328</v>
      </c>
      <c r="C112" s="197"/>
      <c r="D112" s="197"/>
      <c r="E112" s="197"/>
      <c r="F112" s="197"/>
      <c r="G112" s="197"/>
      <c r="H112" s="197"/>
      <c r="I112" s="200"/>
      <c r="J112" s="130">
        <f>'INSUMOS - Lajeado'!D194</f>
        <v>136.33416666666665</v>
      </c>
    </row>
    <row r="113" spans="1:10" ht="12.75" customHeight="1" x14ac:dyDescent="0.2">
      <c r="A113" s="121" t="s">
        <v>187</v>
      </c>
      <c r="B113" s="231" t="s">
        <v>329</v>
      </c>
      <c r="C113" s="197"/>
      <c r="D113" s="197"/>
      <c r="E113" s="197"/>
      <c r="F113" s="197"/>
      <c r="G113" s="197"/>
      <c r="H113" s="197"/>
      <c r="I113" s="200"/>
      <c r="J113" s="152">
        <f>'INSUMOS - Lajeado'!D191+'INSUMOS - Lajeado'!D192</f>
        <v>548.67666666666673</v>
      </c>
    </row>
    <row r="114" spans="1:10" ht="12.75" customHeight="1" x14ac:dyDescent="0.2">
      <c r="A114" s="121" t="s">
        <v>190</v>
      </c>
      <c r="B114" s="231" t="s">
        <v>330</v>
      </c>
      <c r="C114" s="197"/>
      <c r="D114" s="197"/>
      <c r="E114" s="197"/>
      <c r="F114" s="197"/>
      <c r="G114" s="197"/>
      <c r="H114" s="197"/>
      <c r="I114" s="200"/>
      <c r="J114" s="152">
        <f>'INSUMOS - Lajeado'!D193</f>
        <v>157.15374999999997</v>
      </c>
    </row>
    <row r="115" spans="1:10" ht="12.75" customHeight="1" x14ac:dyDescent="0.2">
      <c r="A115" s="121" t="s">
        <v>192</v>
      </c>
      <c r="B115" s="231" t="s">
        <v>331</v>
      </c>
      <c r="C115" s="197"/>
      <c r="D115" s="197"/>
      <c r="E115" s="197"/>
      <c r="F115" s="197"/>
      <c r="G115" s="197"/>
      <c r="H115" s="197"/>
      <c r="I115" s="200"/>
      <c r="J115" s="152" t="s">
        <v>332</v>
      </c>
    </row>
    <row r="116" spans="1:10" ht="12.75" customHeight="1" x14ac:dyDescent="0.2">
      <c r="A116" s="232" t="s">
        <v>253</v>
      </c>
      <c r="B116" s="197"/>
      <c r="C116" s="197"/>
      <c r="D116" s="197"/>
      <c r="E116" s="197"/>
      <c r="F116" s="197"/>
      <c r="G116" s="197"/>
      <c r="H116" s="197"/>
      <c r="I116" s="200"/>
      <c r="J116" s="153">
        <f>SUM(J112:J115)</f>
        <v>842.16458333333333</v>
      </c>
    </row>
    <row r="117" spans="1:10" ht="12.75" customHeight="1" x14ac:dyDescent="0.2">
      <c r="A117" s="225"/>
      <c r="B117" s="197"/>
      <c r="C117" s="197"/>
      <c r="D117" s="197"/>
      <c r="E117" s="197"/>
      <c r="F117" s="197"/>
      <c r="G117" s="197"/>
      <c r="H117" s="197"/>
      <c r="I117" s="197"/>
      <c r="J117" s="200"/>
    </row>
    <row r="118" spans="1:10" ht="15.75" customHeight="1" x14ac:dyDescent="0.2">
      <c r="A118" s="226" t="s">
        <v>333</v>
      </c>
      <c r="B118" s="197"/>
      <c r="C118" s="197"/>
      <c r="D118" s="197"/>
      <c r="E118" s="197"/>
      <c r="F118" s="197"/>
      <c r="G118" s="197"/>
      <c r="H118" s="197"/>
      <c r="I118" s="197"/>
      <c r="J118" s="200"/>
    </row>
    <row r="119" spans="1:10" ht="30" customHeight="1" x14ac:dyDescent="0.2">
      <c r="A119" s="128">
        <v>6</v>
      </c>
      <c r="B119" s="233" t="s">
        <v>334</v>
      </c>
      <c r="C119" s="197"/>
      <c r="D119" s="197"/>
      <c r="E119" s="197"/>
      <c r="F119" s="197"/>
      <c r="G119" s="197"/>
      <c r="H119" s="200"/>
      <c r="I119" s="113" t="s">
        <v>266</v>
      </c>
      <c r="J119" s="154" t="s">
        <v>335</v>
      </c>
    </row>
    <row r="120" spans="1:10" ht="12.75" customHeight="1" x14ac:dyDescent="0.2">
      <c r="A120" s="229" t="s">
        <v>336</v>
      </c>
      <c r="B120" s="197"/>
      <c r="C120" s="197"/>
      <c r="D120" s="197"/>
      <c r="E120" s="197"/>
      <c r="F120" s="197"/>
      <c r="G120" s="197"/>
      <c r="H120" s="200"/>
      <c r="I120" s="155" t="s">
        <v>286</v>
      </c>
      <c r="J120" s="156">
        <f>SUM(J30+J73+J82+J108+J116)</f>
        <v>3093.7345833333329</v>
      </c>
    </row>
    <row r="121" spans="1:10" ht="15.75" customHeight="1" x14ac:dyDescent="0.2">
      <c r="A121" s="157" t="s">
        <v>185</v>
      </c>
      <c r="B121" s="257" t="s">
        <v>337</v>
      </c>
      <c r="C121" s="197"/>
      <c r="D121" s="197"/>
      <c r="E121" s="197"/>
      <c r="F121" s="197"/>
      <c r="G121" s="197"/>
      <c r="H121" s="200"/>
      <c r="I121" s="129">
        <v>0.03</v>
      </c>
      <c r="J121" s="130">
        <f>ROUND(I121*J120,2)</f>
        <v>92.81</v>
      </c>
    </row>
    <row r="122" spans="1:10" ht="12.75" customHeight="1" x14ac:dyDescent="0.2">
      <c r="A122" s="229" t="s">
        <v>338</v>
      </c>
      <c r="B122" s="197"/>
      <c r="C122" s="197"/>
      <c r="D122" s="197"/>
      <c r="E122" s="197"/>
      <c r="F122" s="197"/>
      <c r="G122" s="197"/>
      <c r="H122" s="200"/>
      <c r="I122" s="158" t="s">
        <v>286</v>
      </c>
      <c r="J122" s="156">
        <f>SUM(J30+J73+J82+J108+J116+J121)</f>
        <v>3186.5445833333329</v>
      </c>
    </row>
    <row r="123" spans="1:10" ht="15.75" customHeight="1" x14ac:dyDescent="0.2">
      <c r="A123" s="157" t="s">
        <v>187</v>
      </c>
      <c r="B123" s="257" t="s">
        <v>339</v>
      </c>
      <c r="C123" s="197"/>
      <c r="D123" s="197"/>
      <c r="E123" s="197"/>
      <c r="F123" s="197"/>
      <c r="G123" s="197"/>
      <c r="H123" s="200"/>
      <c r="I123" s="129">
        <v>6.7900000000000002E-2</v>
      </c>
      <c r="J123" s="130">
        <f>ROUND(I123*J122,2)</f>
        <v>216.37</v>
      </c>
    </row>
    <row r="124" spans="1:10" ht="12.75" customHeight="1" x14ac:dyDescent="0.2">
      <c r="A124" s="229" t="s">
        <v>340</v>
      </c>
      <c r="B124" s="197"/>
      <c r="C124" s="197"/>
      <c r="D124" s="197"/>
      <c r="E124" s="197"/>
      <c r="F124" s="197"/>
      <c r="G124" s="197"/>
      <c r="H124" s="200"/>
      <c r="I124" s="158" t="s">
        <v>286</v>
      </c>
      <c r="J124" s="156">
        <f>SUM(J30+J73+J82+J108+J116+J121+J123)</f>
        <v>3402.9145833333328</v>
      </c>
    </row>
    <row r="125" spans="1:10" ht="15.75" customHeight="1" x14ac:dyDescent="0.2">
      <c r="A125" s="157" t="s">
        <v>190</v>
      </c>
      <c r="B125" s="257" t="s">
        <v>341</v>
      </c>
      <c r="C125" s="197"/>
      <c r="D125" s="197"/>
      <c r="E125" s="197"/>
      <c r="F125" s="197"/>
      <c r="G125" s="197"/>
      <c r="H125" s="200"/>
      <c r="I125" s="122" t="s">
        <v>286</v>
      </c>
      <c r="J125" s="137" t="s">
        <v>286</v>
      </c>
    </row>
    <row r="126" spans="1:10" ht="12.75" customHeight="1" x14ac:dyDescent="0.2">
      <c r="A126" s="121"/>
      <c r="B126" s="231" t="s">
        <v>342</v>
      </c>
      <c r="C126" s="197"/>
      <c r="D126" s="197"/>
      <c r="E126" s="197"/>
      <c r="F126" s="197"/>
      <c r="G126" s="197"/>
      <c r="H126" s="200"/>
      <c r="I126" s="122" t="s">
        <v>286</v>
      </c>
      <c r="J126" s="137" t="s">
        <v>286</v>
      </c>
    </row>
    <row r="127" spans="1:10" ht="12.75" customHeight="1" x14ac:dyDescent="0.2">
      <c r="A127" s="121"/>
      <c r="B127" s="231" t="s">
        <v>419</v>
      </c>
      <c r="C127" s="197"/>
      <c r="D127" s="197"/>
      <c r="E127" s="197"/>
      <c r="F127" s="197"/>
      <c r="G127" s="197"/>
      <c r="H127" s="200"/>
      <c r="I127" s="116">
        <v>7.5999999999999998E-2</v>
      </c>
      <c r="J127" s="130">
        <f t="shared" ref="J127:J128" si="3">ROUND(($J$124/(1-$I$136))*I127,2)</f>
        <v>293.06</v>
      </c>
    </row>
    <row r="128" spans="1:10" ht="12.75" customHeight="1" x14ac:dyDescent="0.2">
      <c r="A128" s="121"/>
      <c r="B128" s="231" t="s">
        <v>420</v>
      </c>
      <c r="C128" s="197"/>
      <c r="D128" s="197"/>
      <c r="E128" s="197"/>
      <c r="F128" s="197"/>
      <c r="G128" s="197"/>
      <c r="H128" s="200"/>
      <c r="I128" s="116">
        <v>1.6500000000000001E-2</v>
      </c>
      <c r="J128" s="130">
        <f t="shared" si="3"/>
        <v>63.62</v>
      </c>
    </row>
    <row r="129" spans="1:10" ht="27" customHeight="1" x14ac:dyDescent="0.2">
      <c r="A129" s="121"/>
      <c r="B129" s="213" t="s">
        <v>345</v>
      </c>
      <c r="C129" s="197"/>
      <c r="D129" s="197"/>
      <c r="E129" s="197"/>
      <c r="F129" s="197"/>
      <c r="G129" s="197"/>
      <c r="H129" s="200"/>
      <c r="I129" s="159" t="s">
        <v>286</v>
      </c>
      <c r="J129" s="137" t="s">
        <v>286</v>
      </c>
    </row>
    <row r="130" spans="1:10" ht="27" customHeight="1" x14ac:dyDescent="0.2">
      <c r="A130" s="121"/>
      <c r="B130" s="213" t="s">
        <v>346</v>
      </c>
      <c r="C130" s="197"/>
      <c r="D130" s="197"/>
      <c r="E130" s="197"/>
      <c r="F130" s="197"/>
      <c r="G130" s="197"/>
      <c r="H130" s="200"/>
      <c r="I130" s="159" t="s">
        <v>286</v>
      </c>
      <c r="J130" s="137" t="s">
        <v>286</v>
      </c>
    </row>
    <row r="131" spans="1:10" ht="12.75" customHeight="1" x14ac:dyDescent="0.2">
      <c r="A131" s="121"/>
      <c r="B131" s="231" t="s">
        <v>347</v>
      </c>
      <c r="C131" s="197"/>
      <c r="D131" s="197"/>
      <c r="E131" s="197"/>
      <c r="F131" s="197"/>
      <c r="G131" s="197"/>
      <c r="H131" s="200"/>
      <c r="I131" s="159" t="s">
        <v>286</v>
      </c>
      <c r="J131" s="137" t="s">
        <v>286</v>
      </c>
    </row>
    <row r="132" spans="1:10" ht="12.75" customHeight="1" x14ac:dyDescent="0.2">
      <c r="A132" s="121"/>
      <c r="B132" s="231" t="s">
        <v>348</v>
      </c>
      <c r="C132" s="197"/>
      <c r="D132" s="197"/>
      <c r="E132" s="197"/>
      <c r="F132" s="197"/>
      <c r="G132" s="197"/>
      <c r="H132" s="200"/>
      <c r="I132" s="159" t="s">
        <v>286</v>
      </c>
      <c r="J132" s="137" t="s">
        <v>286</v>
      </c>
    </row>
    <row r="133" spans="1:10" ht="12.75" customHeight="1" x14ac:dyDescent="0.2">
      <c r="A133" s="121"/>
      <c r="B133" s="231" t="s">
        <v>349</v>
      </c>
      <c r="C133" s="197"/>
      <c r="D133" s="197"/>
      <c r="E133" s="197"/>
      <c r="F133" s="197"/>
      <c r="G133" s="197"/>
      <c r="H133" s="200"/>
      <c r="I133" s="116">
        <v>2.5000000000000001E-2</v>
      </c>
      <c r="J133" s="130">
        <f>ROUND(($J$124/(1-$I$136))*I133,2)</f>
        <v>96.4</v>
      </c>
    </row>
    <row r="134" spans="1:10" ht="12.75" customHeight="1" x14ac:dyDescent="0.2">
      <c r="A134" s="232" t="s">
        <v>261</v>
      </c>
      <c r="B134" s="197"/>
      <c r="C134" s="197"/>
      <c r="D134" s="197"/>
      <c r="E134" s="197"/>
      <c r="F134" s="197"/>
      <c r="G134" s="197"/>
      <c r="H134" s="197"/>
      <c r="I134" s="200"/>
      <c r="J134" s="127">
        <f>SUM(J121+J123+J127+J128+J133)</f>
        <v>762.26</v>
      </c>
    </row>
    <row r="135" spans="1:10" ht="12.75" customHeight="1" x14ac:dyDescent="0.2">
      <c r="A135" s="225"/>
      <c r="B135" s="197"/>
      <c r="C135" s="197"/>
      <c r="D135" s="197"/>
      <c r="E135" s="197"/>
      <c r="F135" s="197"/>
      <c r="G135" s="197"/>
      <c r="H135" s="197"/>
      <c r="I135" s="197"/>
      <c r="J135" s="200"/>
    </row>
    <row r="136" spans="1:10" ht="14.25" customHeight="1" x14ac:dyDescent="0.2">
      <c r="A136" s="259" t="s">
        <v>350</v>
      </c>
      <c r="B136" s="197"/>
      <c r="C136" s="197"/>
      <c r="D136" s="197"/>
      <c r="E136" s="197"/>
      <c r="F136" s="197"/>
      <c r="G136" s="197"/>
      <c r="H136" s="200"/>
      <c r="I136" s="160">
        <f t="shared" ref="I136:J136" si="4">SUM(I127:I133)</f>
        <v>0.11749999999999999</v>
      </c>
      <c r="J136" s="156">
        <f t="shared" si="4"/>
        <v>453.08000000000004</v>
      </c>
    </row>
    <row r="137" spans="1:10" ht="12.75" customHeight="1" x14ac:dyDescent="0.2">
      <c r="A137" s="260" t="s">
        <v>351</v>
      </c>
      <c r="B137" s="203"/>
      <c r="C137" s="261"/>
      <c r="D137" s="258" t="s">
        <v>352</v>
      </c>
      <c r="E137" s="197"/>
      <c r="F137" s="197"/>
      <c r="G137" s="197"/>
      <c r="H137" s="197"/>
      <c r="I137" s="197"/>
      <c r="J137" s="200"/>
    </row>
    <row r="138" spans="1:10" ht="12.75" customHeight="1" x14ac:dyDescent="0.2">
      <c r="A138" s="262"/>
      <c r="B138" s="178"/>
      <c r="C138" s="216"/>
      <c r="D138" s="258" t="s">
        <v>353</v>
      </c>
      <c r="E138" s="197"/>
      <c r="F138" s="197"/>
      <c r="G138" s="197"/>
      <c r="H138" s="197"/>
      <c r="I138" s="197"/>
      <c r="J138" s="200"/>
    </row>
    <row r="139" spans="1:10" ht="12.75" customHeight="1" x14ac:dyDescent="0.2">
      <c r="A139" s="263"/>
      <c r="B139" s="209"/>
      <c r="C139" s="210"/>
      <c r="D139" s="258" t="s">
        <v>354</v>
      </c>
      <c r="E139" s="197"/>
      <c r="F139" s="197"/>
      <c r="G139" s="197"/>
      <c r="H139" s="197"/>
      <c r="I139" s="197"/>
      <c r="J139" s="200"/>
    </row>
    <row r="140" spans="1:10" ht="12.75" customHeight="1" x14ac:dyDescent="0.2">
      <c r="A140" s="225"/>
      <c r="B140" s="197"/>
      <c r="C140" s="197"/>
      <c r="D140" s="197"/>
      <c r="E140" s="197"/>
      <c r="F140" s="197"/>
      <c r="G140" s="197"/>
      <c r="H140" s="197"/>
      <c r="I140" s="197"/>
      <c r="J140" s="200"/>
    </row>
    <row r="141" spans="1:10" ht="45.75" customHeight="1" x14ac:dyDescent="0.2">
      <c r="A141" s="264" t="s">
        <v>355</v>
      </c>
      <c r="B141" s="197"/>
      <c r="C141" s="197"/>
      <c r="D141" s="197"/>
      <c r="E141" s="197"/>
      <c r="F141" s="197"/>
      <c r="G141" s="197"/>
      <c r="H141" s="197"/>
      <c r="I141" s="197"/>
      <c r="J141" s="200"/>
    </row>
    <row r="142" spans="1:10" ht="14.25" customHeight="1" x14ac:dyDescent="0.2">
      <c r="A142" s="265" t="s">
        <v>356</v>
      </c>
      <c r="B142" s="197"/>
      <c r="C142" s="197"/>
      <c r="D142" s="197"/>
      <c r="E142" s="197"/>
      <c r="F142" s="197"/>
      <c r="G142" s="197"/>
      <c r="H142" s="197"/>
      <c r="I142" s="200"/>
      <c r="J142" s="161" t="s">
        <v>258</v>
      </c>
    </row>
    <row r="143" spans="1:10" ht="14.25" customHeight="1" x14ac:dyDescent="0.2">
      <c r="A143" s="162" t="s">
        <v>185</v>
      </c>
      <c r="B143" s="253" t="s">
        <v>357</v>
      </c>
      <c r="C143" s="197"/>
      <c r="D143" s="197"/>
      <c r="E143" s="197"/>
      <c r="F143" s="197"/>
      <c r="G143" s="197"/>
      <c r="H143" s="197"/>
      <c r="I143" s="200"/>
      <c r="J143" s="152">
        <f>J30</f>
        <v>1050.3499999999999</v>
      </c>
    </row>
    <row r="144" spans="1:10" ht="14.25" customHeight="1" x14ac:dyDescent="0.2">
      <c r="A144" s="162" t="s">
        <v>187</v>
      </c>
      <c r="B144" s="253" t="s">
        <v>254</v>
      </c>
      <c r="C144" s="197"/>
      <c r="D144" s="197"/>
      <c r="E144" s="197"/>
      <c r="F144" s="197"/>
      <c r="G144" s="197"/>
      <c r="H144" s="197"/>
      <c r="I144" s="200"/>
      <c r="J144" s="152">
        <f>J73</f>
        <v>980.56999999999994</v>
      </c>
    </row>
    <row r="145" spans="1:10" ht="14.25" customHeight="1" x14ac:dyDescent="0.2">
      <c r="A145" s="162" t="s">
        <v>190</v>
      </c>
      <c r="B145" s="253" t="s">
        <v>358</v>
      </c>
      <c r="C145" s="197"/>
      <c r="D145" s="197"/>
      <c r="E145" s="197"/>
      <c r="F145" s="197"/>
      <c r="G145" s="197"/>
      <c r="H145" s="197"/>
      <c r="I145" s="200"/>
      <c r="J145" s="152">
        <f>J82</f>
        <v>53.28</v>
      </c>
    </row>
    <row r="146" spans="1:10" ht="14.25" customHeight="1" x14ac:dyDescent="0.2">
      <c r="A146" s="162" t="s">
        <v>192</v>
      </c>
      <c r="B146" s="253" t="s">
        <v>359</v>
      </c>
      <c r="C146" s="197"/>
      <c r="D146" s="197"/>
      <c r="E146" s="197"/>
      <c r="F146" s="197"/>
      <c r="G146" s="197"/>
      <c r="H146" s="197"/>
      <c r="I146" s="200"/>
      <c r="J146" s="152">
        <f>J108</f>
        <v>167.37</v>
      </c>
    </row>
    <row r="147" spans="1:10" ht="14.25" customHeight="1" x14ac:dyDescent="0.2">
      <c r="A147" s="162" t="s">
        <v>250</v>
      </c>
      <c r="B147" s="253" t="s">
        <v>360</v>
      </c>
      <c r="C147" s="197"/>
      <c r="D147" s="197"/>
      <c r="E147" s="197"/>
      <c r="F147" s="197"/>
      <c r="G147" s="197"/>
      <c r="H147" s="197"/>
      <c r="I147" s="200"/>
      <c r="J147" s="152">
        <f>J116</f>
        <v>842.16458333333333</v>
      </c>
    </row>
    <row r="148" spans="1:10" ht="14.25" customHeight="1" x14ac:dyDescent="0.2">
      <c r="A148" s="254" t="s">
        <v>361</v>
      </c>
      <c r="B148" s="197"/>
      <c r="C148" s="197"/>
      <c r="D148" s="197"/>
      <c r="E148" s="197"/>
      <c r="F148" s="197"/>
      <c r="G148" s="197"/>
      <c r="H148" s="197"/>
      <c r="I148" s="200"/>
      <c r="J148" s="153">
        <f>SUM(J143:J147)</f>
        <v>3093.7345833333329</v>
      </c>
    </row>
    <row r="149" spans="1:10" ht="14.25" customHeight="1" x14ac:dyDescent="0.2">
      <c r="A149" s="162" t="s">
        <v>275</v>
      </c>
      <c r="B149" s="253" t="s">
        <v>362</v>
      </c>
      <c r="C149" s="197"/>
      <c r="D149" s="197"/>
      <c r="E149" s="197"/>
      <c r="F149" s="197"/>
      <c r="G149" s="197"/>
      <c r="H149" s="197"/>
      <c r="I149" s="200"/>
      <c r="J149" s="152">
        <f>J134</f>
        <v>762.26</v>
      </c>
    </row>
    <row r="150" spans="1:10" ht="14.25" customHeight="1" x14ac:dyDescent="0.2">
      <c r="A150" s="254" t="s">
        <v>363</v>
      </c>
      <c r="B150" s="197"/>
      <c r="C150" s="197"/>
      <c r="D150" s="197"/>
      <c r="E150" s="197"/>
      <c r="F150" s="197"/>
      <c r="G150" s="197"/>
      <c r="H150" s="197"/>
      <c r="I150" s="200"/>
      <c r="J150" s="153">
        <f>SUM(J148:J149)</f>
        <v>3855.9945833333331</v>
      </c>
    </row>
    <row r="151" spans="1:10" ht="12.75" customHeight="1" x14ac:dyDescent="0.2">
      <c r="A151" s="225"/>
      <c r="B151" s="197"/>
      <c r="C151" s="197"/>
      <c r="D151" s="197"/>
      <c r="E151" s="197"/>
      <c r="F151" s="197"/>
      <c r="G151" s="197"/>
      <c r="H151" s="197"/>
      <c r="I151" s="197"/>
      <c r="J151" s="200"/>
    </row>
    <row r="152" spans="1:10" ht="12.75" customHeight="1" x14ac:dyDescent="0.2">
      <c r="A152" s="255" t="s">
        <v>364</v>
      </c>
      <c r="B152" s="203"/>
      <c r="C152" s="203"/>
      <c r="D152" s="203"/>
      <c r="E152" s="203"/>
      <c r="F152" s="203"/>
      <c r="G152" s="203"/>
      <c r="H152" s="203"/>
      <c r="I152" s="203"/>
      <c r="J152" s="203"/>
    </row>
    <row r="153" spans="1:10" ht="12.75" customHeight="1" x14ac:dyDescent="0.2">
      <c r="A153" s="249" t="s">
        <v>365</v>
      </c>
      <c r="B153" s="197"/>
      <c r="C153" s="197"/>
      <c r="D153" s="197"/>
      <c r="E153" s="197"/>
      <c r="F153" s="197"/>
      <c r="G153" s="200"/>
      <c r="H153" s="249" t="s">
        <v>366</v>
      </c>
      <c r="I153" s="197"/>
      <c r="J153" s="200"/>
    </row>
    <row r="154" spans="1:10" ht="12.75" customHeight="1" x14ac:dyDescent="0.2">
      <c r="A154" s="250" t="s">
        <v>402</v>
      </c>
      <c r="B154" s="203"/>
      <c r="C154" s="203"/>
      <c r="D154" s="203"/>
      <c r="E154" s="203"/>
      <c r="F154" s="203"/>
      <c r="G154" s="203"/>
      <c r="H154" s="251">
        <v>1</v>
      </c>
      <c r="I154" s="203"/>
      <c r="J154" s="203"/>
    </row>
    <row r="155" spans="1:10" ht="12.75" customHeight="1" x14ac:dyDescent="0.2">
      <c r="A155" s="252"/>
      <c r="B155" s="197"/>
      <c r="C155" s="197"/>
      <c r="D155" s="197"/>
      <c r="E155" s="197"/>
      <c r="F155" s="197"/>
      <c r="G155" s="197"/>
      <c r="H155" s="197"/>
      <c r="I155" s="197"/>
      <c r="J155" s="200"/>
    </row>
    <row r="156" spans="1:10" ht="12.75" customHeight="1" x14ac:dyDescent="0.2"/>
    <row r="157" spans="1:10" ht="12.75" customHeight="1" x14ac:dyDescent="0.2"/>
    <row r="158" spans="1:10" ht="12.75" customHeight="1" x14ac:dyDescent="0.2"/>
    <row r="159" spans="1:10" ht="12.75" customHeight="1" x14ac:dyDescent="0.2"/>
    <row r="160" spans="1:1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70">
    <mergeCell ref="B145:I145"/>
    <mergeCell ref="B146:I146"/>
    <mergeCell ref="B147:I147"/>
    <mergeCell ref="A148:I148"/>
    <mergeCell ref="A137:C139"/>
    <mergeCell ref="D137:J137"/>
    <mergeCell ref="D138:J138"/>
    <mergeCell ref="D139:J139"/>
    <mergeCell ref="A140:J140"/>
    <mergeCell ref="A141:J141"/>
    <mergeCell ref="A142:I142"/>
    <mergeCell ref="B143:I143"/>
    <mergeCell ref="B144:I144"/>
    <mergeCell ref="B128:H128"/>
    <mergeCell ref="B129:H129"/>
    <mergeCell ref="B130:H130"/>
    <mergeCell ref="B131:H131"/>
    <mergeCell ref="B132:H132"/>
    <mergeCell ref="B133:H133"/>
    <mergeCell ref="A134:I134"/>
    <mergeCell ref="A135:J135"/>
    <mergeCell ref="A136:H136"/>
    <mergeCell ref="B119:H119"/>
    <mergeCell ref="A120:H120"/>
    <mergeCell ref="B121:H121"/>
    <mergeCell ref="A122:H122"/>
    <mergeCell ref="B123:H123"/>
    <mergeCell ref="A124:H124"/>
    <mergeCell ref="B125:H125"/>
    <mergeCell ref="B126:H126"/>
    <mergeCell ref="B127:H127"/>
    <mergeCell ref="A110:J110"/>
    <mergeCell ref="B111:I111"/>
    <mergeCell ref="B112:I112"/>
    <mergeCell ref="B113:I113"/>
    <mergeCell ref="B114:I114"/>
    <mergeCell ref="B115:I115"/>
    <mergeCell ref="A116:I116"/>
    <mergeCell ref="A117:J117"/>
    <mergeCell ref="A118:J118"/>
    <mergeCell ref="B95:I95"/>
    <mergeCell ref="A96:I96"/>
    <mergeCell ref="A97:J97"/>
    <mergeCell ref="B98:I98"/>
    <mergeCell ref="B99:I99"/>
    <mergeCell ref="A100:I100"/>
    <mergeCell ref="A154:G154"/>
    <mergeCell ref="A155:J155"/>
    <mergeCell ref="B149:I149"/>
    <mergeCell ref="A150:I150"/>
    <mergeCell ref="A151:J151"/>
    <mergeCell ref="A152:J152"/>
    <mergeCell ref="A153:G153"/>
    <mergeCell ref="H153:J153"/>
    <mergeCell ref="H154:J154"/>
    <mergeCell ref="B101:I101"/>
    <mergeCell ref="A102:I102"/>
    <mergeCell ref="A103:J103"/>
    <mergeCell ref="A104:J104"/>
    <mergeCell ref="B105:I105"/>
    <mergeCell ref="B106:I106"/>
    <mergeCell ref="B107:I107"/>
    <mergeCell ref="A108:I108"/>
    <mergeCell ref="A109:J109"/>
    <mergeCell ref="A86:J86"/>
    <mergeCell ref="B87:I87"/>
    <mergeCell ref="B88:H88"/>
    <mergeCell ref="B89:I89"/>
    <mergeCell ref="B90:I90"/>
    <mergeCell ref="B91:I91"/>
    <mergeCell ref="B92:I92"/>
    <mergeCell ref="B93:I93"/>
    <mergeCell ref="A94:I94"/>
    <mergeCell ref="B77:I77"/>
    <mergeCell ref="B78:I78"/>
    <mergeCell ref="B79:I79"/>
    <mergeCell ref="B80:I80"/>
    <mergeCell ref="B81:H81"/>
    <mergeCell ref="A82:I82"/>
    <mergeCell ref="A83:J83"/>
    <mergeCell ref="A84:J84"/>
    <mergeCell ref="A85:I85"/>
    <mergeCell ref="A68:J68"/>
    <mergeCell ref="B69:I69"/>
    <mergeCell ref="C70:I70"/>
    <mergeCell ref="C71:I71"/>
    <mergeCell ref="C72:I72"/>
    <mergeCell ref="A73:I73"/>
    <mergeCell ref="A74:J74"/>
    <mergeCell ref="A75:J75"/>
    <mergeCell ref="B76:I76"/>
    <mergeCell ref="B59:H59"/>
    <mergeCell ref="B60:I60"/>
    <mergeCell ref="B61:H61"/>
    <mergeCell ref="B62:H62"/>
    <mergeCell ref="B63:H63"/>
    <mergeCell ref="B64:I64"/>
    <mergeCell ref="B65:I65"/>
    <mergeCell ref="A66:I66"/>
    <mergeCell ref="A67:J67"/>
    <mergeCell ref="B50:H50"/>
    <mergeCell ref="A51:H51"/>
    <mergeCell ref="A52:J52"/>
    <mergeCell ref="A53:J53"/>
    <mergeCell ref="B54:I54"/>
    <mergeCell ref="B55:I55"/>
    <mergeCell ref="B56:H56"/>
    <mergeCell ref="B57:H57"/>
    <mergeCell ref="B58:H58"/>
    <mergeCell ref="B27:I27"/>
    <mergeCell ref="B28:I28"/>
    <mergeCell ref="B29:H29"/>
    <mergeCell ref="A30:I30"/>
    <mergeCell ref="B45:D45"/>
    <mergeCell ref="B46:H46"/>
    <mergeCell ref="B47:H47"/>
    <mergeCell ref="B48:H48"/>
    <mergeCell ref="B49:H49"/>
    <mergeCell ref="B20:G20"/>
    <mergeCell ref="H20:J20"/>
    <mergeCell ref="A21:J21"/>
    <mergeCell ref="A22:J22"/>
    <mergeCell ref="B23:G23"/>
    <mergeCell ref="H23:I23"/>
    <mergeCell ref="B24:I24"/>
    <mergeCell ref="B25:H25"/>
    <mergeCell ref="B26:I26"/>
    <mergeCell ref="A14:J14"/>
    <mergeCell ref="A15:J15"/>
    <mergeCell ref="B16:G16"/>
    <mergeCell ref="H16:J16"/>
    <mergeCell ref="B17:G17"/>
    <mergeCell ref="H17:J17"/>
    <mergeCell ref="B18:G18"/>
    <mergeCell ref="H18:J18"/>
    <mergeCell ref="H19:J19"/>
    <mergeCell ref="B19:G19"/>
    <mergeCell ref="A40:J40"/>
    <mergeCell ref="A41:J41"/>
    <mergeCell ref="B42:H42"/>
    <mergeCell ref="B43:H43"/>
    <mergeCell ref="B44:H44"/>
    <mergeCell ref="A1:J1"/>
    <mergeCell ref="A2:J2"/>
    <mergeCell ref="A3:J3"/>
    <mergeCell ref="A4:G4"/>
    <mergeCell ref="H4:J4"/>
    <mergeCell ref="A5:G5"/>
    <mergeCell ref="H5:J5"/>
    <mergeCell ref="A6:J6"/>
    <mergeCell ref="A7:J7"/>
    <mergeCell ref="B8:G8"/>
    <mergeCell ref="H8:J8"/>
    <mergeCell ref="B9:G9"/>
    <mergeCell ref="H9:J9"/>
    <mergeCell ref="H10:J10"/>
    <mergeCell ref="B10:G10"/>
    <mergeCell ref="B11:G11"/>
    <mergeCell ref="H11:J11"/>
    <mergeCell ref="A12:J12"/>
    <mergeCell ref="A13:J13"/>
    <mergeCell ref="A31:J31"/>
    <mergeCell ref="A32:J32"/>
    <mergeCell ref="A33:J33"/>
    <mergeCell ref="B34:I34"/>
    <mergeCell ref="B35:H35"/>
    <mergeCell ref="B36:H36"/>
    <mergeCell ref="A37:I37"/>
    <mergeCell ref="B38:I38"/>
    <mergeCell ref="A39:I39"/>
  </mergeCells>
  <pageMargins left="0.7" right="0.7" top="0.75" bottom="0.75" header="0" footer="0"/>
  <pageSetup orientation="portrait"/>
  <headerFooter>
    <oddHeader>&amp;C&amp;A</oddHeader>
    <oddFooter>&amp;CPágina &amp;P</oddFooter>
  </headerFooter>
  <colBreaks count="2" manualBreakCount="2">
    <brk man="1"/>
    <brk id="1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C00"/>
  </sheetPr>
  <dimension ref="A1:K1000"/>
  <sheetViews>
    <sheetView workbookViewId="0">
      <selection sqref="A1:J1"/>
    </sheetView>
  </sheetViews>
  <sheetFormatPr defaultColWidth="12.5703125" defaultRowHeight="15" customHeight="1" x14ac:dyDescent="0.2"/>
  <cols>
    <col min="1" max="10" width="11.5703125" customWidth="1"/>
    <col min="11" max="11" width="11.42578125" customWidth="1"/>
    <col min="12" max="26" width="8" customWidth="1"/>
  </cols>
  <sheetData>
    <row r="1" spans="1:10" ht="23.25" customHeight="1" x14ac:dyDescent="0.2">
      <c r="A1" s="234" t="s">
        <v>493</v>
      </c>
      <c r="B1" s="197"/>
      <c r="C1" s="197"/>
      <c r="D1" s="197"/>
      <c r="E1" s="197"/>
      <c r="F1" s="197"/>
      <c r="G1" s="197"/>
      <c r="H1" s="197"/>
      <c r="I1" s="197"/>
      <c r="J1" s="200"/>
    </row>
    <row r="2" spans="1:10" ht="24" customHeight="1" x14ac:dyDescent="0.2">
      <c r="A2" s="235" t="s">
        <v>224</v>
      </c>
      <c r="B2" s="197"/>
      <c r="C2" s="197"/>
      <c r="D2" s="197"/>
      <c r="E2" s="197"/>
      <c r="F2" s="197"/>
      <c r="G2" s="197"/>
      <c r="H2" s="197"/>
      <c r="I2" s="197"/>
      <c r="J2" s="200"/>
    </row>
    <row r="3" spans="1:10" ht="46.5" customHeight="1" x14ac:dyDescent="0.2">
      <c r="A3" s="236" t="s">
        <v>494</v>
      </c>
      <c r="B3" s="197"/>
      <c r="C3" s="197"/>
      <c r="D3" s="197"/>
      <c r="E3" s="197"/>
      <c r="F3" s="197"/>
      <c r="G3" s="197"/>
      <c r="H3" s="197"/>
      <c r="I3" s="197"/>
      <c r="J3" s="200"/>
    </row>
    <row r="4" spans="1:10" ht="14.25" customHeight="1" x14ac:dyDescent="0.2">
      <c r="A4" s="213" t="s">
        <v>180</v>
      </c>
      <c r="B4" s="197"/>
      <c r="C4" s="197"/>
      <c r="D4" s="197"/>
      <c r="E4" s="197"/>
      <c r="F4" s="197"/>
      <c r="G4" s="200"/>
      <c r="H4" s="201" t="s">
        <v>226</v>
      </c>
      <c r="I4" s="197"/>
      <c r="J4" s="200"/>
    </row>
    <row r="5" spans="1:10" ht="14.25" customHeight="1" x14ac:dyDescent="0.2">
      <c r="A5" s="213" t="s">
        <v>182</v>
      </c>
      <c r="B5" s="197"/>
      <c r="C5" s="197"/>
      <c r="D5" s="197"/>
      <c r="E5" s="197"/>
      <c r="F5" s="197"/>
      <c r="G5" s="200"/>
      <c r="H5" s="201"/>
      <c r="I5" s="197"/>
      <c r="J5" s="200"/>
    </row>
    <row r="6" spans="1:10" ht="14.25" customHeight="1" x14ac:dyDescent="0.2">
      <c r="A6" s="213" t="s">
        <v>183</v>
      </c>
      <c r="B6" s="197"/>
      <c r="C6" s="197"/>
      <c r="D6" s="197"/>
      <c r="E6" s="197"/>
      <c r="F6" s="197"/>
      <c r="G6" s="197"/>
      <c r="H6" s="197"/>
      <c r="I6" s="197"/>
      <c r="J6" s="200"/>
    </row>
    <row r="7" spans="1:10" ht="15.75" customHeight="1" x14ac:dyDescent="0.2">
      <c r="A7" s="237" t="s">
        <v>184</v>
      </c>
      <c r="B7" s="197"/>
      <c r="C7" s="197"/>
      <c r="D7" s="197"/>
      <c r="E7" s="197"/>
      <c r="F7" s="197"/>
      <c r="G7" s="197"/>
      <c r="H7" s="197"/>
      <c r="I7" s="197"/>
      <c r="J7" s="200"/>
    </row>
    <row r="8" spans="1:10" ht="14.25" customHeight="1" x14ac:dyDescent="0.2">
      <c r="A8" s="87" t="s">
        <v>185</v>
      </c>
      <c r="B8" s="213" t="s">
        <v>186</v>
      </c>
      <c r="C8" s="197"/>
      <c r="D8" s="197"/>
      <c r="E8" s="197"/>
      <c r="F8" s="197"/>
      <c r="G8" s="200"/>
      <c r="H8" s="214"/>
      <c r="I8" s="197"/>
      <c r="J8" s="200"/>
    </row>
    <row r="9" spans="1:10" ht="14.25" customHeight="1" x14ac:dyDescent="0.2">
      <c r="A9" s="87" t="s">
        <v>187</v>
      </c>
      <c r="B9" s="213" t="s">
        <v>227</v>
      </c>
      <c r="C9" s="197"/>
      <c r="D9" s="197"/>
      <c r="E9" s="197"/>
      <c r="F9" s="197"/>
      <c r="G9" s="200"/>
      <c r="H9" s="201" t="s">
        <v>495</v>
      </c>
      <c r="I9" s="197"/>
      <c r="J9" s="200"/>
    </row>
    <row r="10" spans="1:10" ht="39" customHeight="1" x14ac:dyDescent="0.2">
      <c r="A10" s="87" t="s">
        <v>190</v>
      </c>
      <c r="B10" s="213" t="s">
        <v>229</v>
      </c>
      <c r="C10" s="197"/>
      <c r="D10" s="197"/>
      <c r="E10" s="197"/>
      <c r="F10" s="197"/>
      <c r="G10" s="200"/>
      <c r="H10" s="238" t="s">
        <v>496</v>
      </c>
      <c r="I10" s="197"/>
      <c r="J10" s="200"/>
    </row>
    <row r="11" spans="1:10" ht="30.75" customHeight="1" x14ac:dyDescent="0.2">
      <c r="A11" s="87" t="s">
        <v>192</v>
      </c>
      <c r="B11" s="213" t="s">
        <v>497</v>
      </c>
      <c r="C11" s="197"/>
      <c r="D11" s="197"/>
      <c r="E11" s="197"/>
      <c r="F11" s="197"/>
      <c r="G11" s="200"/>
      <c r="H11" s="201">
        <v>60</v>
      </c>
      <c r="I11" s="197"/>
      <c r="J11" s="200"/>
    </row>
    <row r="12" spans="1:10" ht="12.75" customHeight="1" x14ac:dyDescent="0.2">
      <c r="A12" s="225"/>
      <c r="B12" s="197"/>
      <c r="C12" s="197"/>
      <c r="D12" s="197"/>
      <c r="E12" s="197"/>
      <c r="F12" s="197"/>
      <c r="G12" s="197"/>
      <c r="H12" s="197"/>
      <c r="I12" s="197"/>
      <c r="J12" s="200"/>
    </row>
    <row r="13" spans="1:10" ht="48.75" customHeight="1" x14ac:dyDescent="0.2">
      <c r="A13" s="239" t="s">
        <v>498</v>
      </c>
      <c r="B13" s="197"/>
      <c r="C13" s="197"/>
      <c r="D13" s="197"/>
      <c r="E13" s="197"/>
      <c r="F13" s="197"/>
      <c r="G13" s="197"/>
      <c r="H13" s="197"/>
      <c r="I13" s="197"/>
      <c r="J13" s="200"/>
    </row>
    <row r="14" spans="1:10" ht="12.75" customHeight="1" x14ac:dyDescent="0.2">
      <c r="A14" s="225"/>
      <c r="B14" s="197"/>
      <c r="C14" s="197"/>
      <c r="D14" s="197"/>
      <c r="E14" s="197"/>
      <c r="F14" s="197"/>
      <c r="G14" s="197"/>
      <c r="H14" s="197"/>
      <c r="I14" s="197"/>
      <c r="J14" s="200"/>
    </row>
    <row r="15" spans="1:10" ht="15.75" customHeight="1" x14ac:dyDescent="0.2">
      <c r="A15" s="240" t="s">
        <v>233</v>
      </c>
      <c r="B15" s="197"/>
      <c r="C15" s="197"/>
      <c r="D15" s="197"/>
      <c r="E15" s="197"/>
      <c r="F15" s="197"/>
      <c r="G15" s="197"/>
      <c r="H15" s="197"/>
      <c r="I15" s="197"/>
      <c r="J15" s="200"/>
    </row>
    <row r="16" spans="1:10" ht="15.75" customHeight="1" x14ac:dyDescent="0.2">
      <c r="A16" s="87">
        <v>1</v>
      </c>
      <c r="B16" s="213" t="s">
        <v>234</v>
      </c>
      <c r="C16" s="197"/>
      <c r="D16" s="197"/>
      <c r="E16" s="197"/>
      <c r="F16" s="197"/>
      <c r="G16" s="200"/>
      <c r="H16" s="241" t="s">
        <v>235</v>
      </c>
      <c r="I16" s="197"/>
      <c r="J16" s="200"/>
    </row>
    <row r="17" spans="1:11" ht="15.75" customHeight="1" x14ac:dyDescent="0.2">
      <c r="A17" s="87">
        <v>2</v>
      </c>
      <c r="B17" s="213" t="s">
        <v>236</v>
      </c>
      <c r="C17" s="197"/>
      <c r="D17" s="197"/>
      <c r="E17" s="197"/>
      <c r="F17" s="197"/>
      <c r="G17" s="200"/>
      <c r="H17" s="241" t="s">
        <v>237</v>
      </c>
      <c r="I17" s="197"/>
      <c r="J17" s="200"/>
    </row>
    <row r="18" spans="1:11" ht="15.75" customHeight="1" x14ac:dyDescent="0.2">
      <c r="A18" s="87">
        <v>3</v>
      </c>
      <c r="B18" s="213" t="s">
        <v>238</v>
      </c>
      <c r="C18" s="197"/>
      <c r="D18" s="197"/>
      <c r="E18" s="197"/>
      <c r="F18" s="197"/>
      <c r="G18" s="200"/>
      <c r="H18" s="242">
        <f>9.31*220</f>
        <v>2048.2000000000003</v>
      </c>
      <c r="I18" s="197"/>
      <c r="J18" s="200"/>
    </row>
    <row r="19" spans="1:11" ht="15.75" customHeight="1" x14ac:dyDescent="0.2">
      <c r="A19" s="87">
        <v>4</v>
      </c>
      <c r="B19" s="213" t="s">
        <v>239</v>
      </c>
      <c r="C19" s="197"/>
      <c r="D19" s="197"/>
      <c r="E19" s="197"/>
      <c r="F19" s="197"/>
      <c r="G19" s="200"/>
      <c r="H19" s="241" t="s">
        <v>156</v>
      </c>
      <c r="I19" s="197"/>
      <c r="J19" s="200"/>
    </row>
    <row r="20" spans="1:11" ht="15.75" customHeight="1" x14ac:dyDescent="0.2">
      <c r="A20" s="87">
        <v>5</v>
      </c>
      <c r="B20" s="213" t="s">
        <v>240</v>
      </c>
      <c r="C20" s="197"/>
      <c r="D20" s="197"/>
      <c r="E20" s="197"/>
      <c r="F20" s="197"/>
      <c r="G20" s="200"/>
      <c r="H20" s="241" t="s">
        <v>373</v>
      </c>
      <c r="I20" s="197"/>
      <c r="J20" s="200"/>
    </row>
    <row r="21" spans="1:11" ht="12.75" customHeight="1" x14ac:dyDescent="0.2">
      <c r="A21" s="225"/>
      <c r="B21" s="197"/>
      <c r="C21" s="197"/>
      <c r="D21" s="197"/>
      <c r="E21" s="197"/>
      <c r="F21" s="197"/>
      <c r="G21" s="197"/>
      <c r="H21" s="197"/>
      <c r="I21" s="197"/>
      <c r="J21" s="200"/>
    </row>
    <row r="22" spans="1:11" ht="20.25" customHeight="1" x14ac:dyDescent="0.2">
      <c r="A22" s="239" t="s">
        <v>242</v>
      </c>
      <c r="B22" s="197"/>
      <c r="C22" s="197"/>
      <c r="D22" s="197"/>
      <c r="E22" s="197"/>
      <c r="F22" s="197"/>
      <c r="G22" s="197"/>
      <c r="H22" s="197"/>
      <c r="I22" s="197"/>
      <c r="J22" s="200"/>
    </row>
    <row r="23" spans="1:11" ht="30" customHeight="1" x14ac:dyDescent="0.2">
      <c r="A23" s="113">
        <v>1</v>
      </c>
      <c r="B23" s="240" t="s">
        <v>243</v>
      </c>
      <c r="C23" s="197"/>
      <c r="D23" s="197"/>
      <c r="E23" s="197"/>
      <c r="F23" s="197"/>
      <c r="G23" s="200"/>
      <c r="H23" s="240" t="s">
        <v>244</v>
      </c>
      <c r="I23" s="200"/>
      <c r="J23" s="113" t="s">
        <v>245</v>
      </c>
    </row>
    <row r="24" spans="1:11" ht="12.75" customHeight="1" x14ac:dyDescent="0.2">
      <c r="A24" s="87" t="s">
        <v>185</v>
      </c>
      <c r="B24" s="213" t="s">
        <v>499</v>
      </c>
      <c r="C24" s="197"/>
      <c r="D24" s="197"/>
      <c r="E24" s="197"/>
      <c r="F24" s="197"/>
      <c r="G24" s="197"/>
      <c r="H24" s="197"/>
      <c r="I24" s="200"/>
      <c r="J24" s="114">
        <f>ROUND(((25/6)*30)*(H18/220),2)</f>
        <v>1163.75</v>
      </c>
      <c r="K24" s="163"/>
    </row>
    <row r="25" spans="1:11" ht="12.75" customHeight="1" x14ac:dyDescent="0.2">
      <c r="A25" s="115" t="s">
        <v>187</v>
      </c>
      <c r="B25" s="213" t="s">
        <v>247</v>
      </c>
      <c r="C25" s="197"/>
      <c r="D25" s="197"/>
      <c r="E25" s="197"/>
      <c r="F25" s="197"/>
      <c r="G25" s="197"/>
      <c r="H25" s="200"/>
      <c r="I25" s="116">
        <v>0.3</v>
      </c>
      <c r="J25" s="114">
        <f>ROUND(I25*J24,2)</f>
        <v>349.13</v>
      </c>
      <c r="K25" s="163"/>
    </row>
    <row r="26" spans="1:11" ht="12.75" customHeight="1" x14ac:dyDescent="0.2">
      <c r="A26" s="115" t="s">
        <v>190</v>
      </c>
      <c r="B26" s="213" t="s">
        <v>248</v>
      </c>
      <c r="C26" s="197"/>
      <c r="D26" s="197"/>
      <c r="E26" s="197"/>
      <c r="F26" s="197"/>
      <c r="G26" s="197"/>
      <c r="H26" s="197"/>
      <c r="I26" s="200"/>
      <c r="J26" s="114"/>
      <c r="K26" s="163"/>
    </row>
    <row r="27" spans="1:11" ht="12.75" customHeight="1" x14ac:dyDescent="0.2">
      <c r="A27" s="115" t="s">
        <v>192</v>
      </c>
      <c r="B27" s="213" t="s">
        <v>249</v>
      </c>
      <c r="C27" s="197"/>
      <c r="D27" s="197"/>
      <c r="E27" s="197"/>
      <c r="F27" s="197"/>
      <c r="G27" s="197"/>
      <c r="H27" s="197"/>
      <c r="I27" s="200"/>
      <c r="J27" s="114"/>
      <c r="K27" s="163"/>
    </row>
    <row r="28" spans="1:11" ht="12.75" customHeight="1" x14ac:dyDescent="0.2">
      <c r="A28" s="115" t="s">
        <v>250</v>
      </c>
      <c r="B28" s="213" t="s">
        <v>251</v>
      </c>
      <c r="C28" s="197"/>
      <c r="D28" s="197"/>
      <c r="E28" s="197"/>
      <c r="F28" s="197"/>
      <c r="G28" s="197"/>
      <c r="H28" s="197"/>
      <c r="I28" s="200"/>
      <c r="J28" s="114"/>
      <c r="K28" s="163"/>
    </row>
    <row r="29" spans="1:11" ht="12.75" customHeight="1" x14ac:dyDescent="0.2">
      <c r="A29" s="87" t="s">
        <v>187</v>
      </c>
      <c r="B29" s="213" t="s">
        <v>252</v>
      </c>
      <c r="C29" s="197"/>
      <c r="D29" s="197"/>
      <c r="E29" s="197"/>
      <c r="F29" s="197"/>
      <c r="G29" s="197"/>
      <c r="H29" s="200"/>
      <c r="I29" s="117">
        <v>0</v>
      </c>
      <c r="J29" s="114">
        <f>ROUND(I29*J24,2)</f>
        <v>0</v>
      </c>
      <c r="K29" s="163"/>
    </row>
    <row r="30" spans="1:11" ht="15.75" customHeight="1" x14ac:dyDescent="0.2">
      <c r="A30" s="243" t="s">
        <v>253</v>
      </c>
      <c r="B30" s="197"/>
      <c r="C30" s="197"/>
      <c r="D30" s="197"/>
      <c r="E30" s="197"/>
      <c r="F30" s="197"/>
      <c r="G30" s="197"/>
      <c r="H30" s="197"/>
      <c r="I30" s="200"/>
      <c r="J30" s="118">
        <f>SUM(J24:J29)</f>
        <v>1512.88</v>
      </c>
      <c r="K30" s="163"/>
    </row>
    <row r="31" spans="1:11" ht="12.75" customHeight="1" x14ac:dyDescent="0.2">
      <c r="A31" s="225"/>
      <c r="B31" s="197"/>
      <c r="C31" s="197"/>
      <c r="D31" s="197"/>
      <c r="E31" s="197"/>
      <c r="F31" s="197"/>
      <c r="G31" s="197"/>
      <c r="H31" s="197"/>
      <c r="I31" s="197"/>
      <c r="J31" s="200"/>
      <c r="K31" s="163"/>
    </row>
    <row r="32" spans="1:11" ht="15.75" customHeight="1" x14ac:dyDescent="0.2">
      <c r="A32" s="226" t="s">
        <v>254</v>
      </c>
      <c r="B32" s="197"/>
      <c r="C32" s="197"/>
      <c r="D32" s="197"/>
      <c r="E32" s="197"/>
      <c r="F32" s="197"/>
      <c r="G32" s="197"/>
      <c r="H32" s="197"/>
      <c r="I32" s="197"/>
      <c r="J32" s="200"/>
      <c r="K32" s="163"/>
    </row>
    <row r="33" spans="1:11" ht="15" customHeight="1" x14ac:dyDescent="0.2">
      <c r="A33" s="227" t="s">
        <v>500</v>
      </c>
      <c r="B33" s="197"/>
      <c r="C33" s="197"/>
      <c r="D33" s="197"/>
      <c r="E33" s="197"/>
      <c r="F33" s="197"/>
      <c r="G33" s="197"/>
      <c r="H33" s="197"/>
      <c r="I33" s="197"/>
      <c r="J33" s="200"/>
      <c r="K33" s="163"/>
    </row>
    <row r="34" spans="1:11" ht="15" customHeight="1" x14ac:dyDescent="0.2">
      <c r="A34" s="119" t="s">
        <v>256</v>
      </c>
      <c r="B34" s="228" t="s">
        <v>501</v>
      </c>
      <c r="C34" s="197"/>
      <c r="D34" s="197"/>
      <c r="E34" s="197"/>
      <c r="F34" s="197"/>
      <c r="G34" s="197"/>
      <c r="H34" s="197"/>
      <c r="I34" s="200"/>
      <c r="J34" s="120" t="s">
        <v>258</v>
      </c>
      <c r="K34" s="163"/>
    </row>
    <row r="35" spans="1:11" ht="27" customHeight="1" x14ac:dyDescent="0.2">
      <c r="A35" s="121" t="s">
        <v>185</v>
      </c>
      <c r="B35" s="213" t="s">
        <v>502</v>
      </c>
      <c r="C35" s="197"/>
      <c r="D35" s="197"/>
      <c r="E35" s="197"/>
      <c r="F35" s="197"/>
      <c r="G35" s="197"/>
      <c r="H35" s="200"/>
      <c r="I35" s="122">
        <v>8.3299999999999999E-2</v>
      </c>
      <c r="J35" s="123">
        <f t="shared" ref="J35:J36" si="0">ROUND($J$30*I35,2)</f>
        <v>126.02</v>
      </c>
      <c r="K35" s="165"/>
    </row>
    <row r="36" spans="1:11" ht="36" customHeight="1" x14ac:dyDescent="0.2">
      <c r="A36" s="121" t="s">
        <v>187</v>
      </c>
      <c r="B36" s="229" t="s">
        <v>503</v>
      </c>
      <c r="C36" s="197"/>
      <c r="D36" s="197"/>
      <c r="E36" s="197"/>
      <c r="F36" s="197"/>
      <c r="G36" s="197"/>
      <c r="H36" s="200"/>
      <c r="I36" s="124">
        <v>3.0249999999999999E-2</v>
      </c>
      <c r="J36" s="123">
        <f t="shared" si="0"/>
        <v>45.76</v>
      </c>
      <c r="K36" s="165"/>
    </row>
    <row r="37" spans="1:11" ht="12.75" customHeight="1" x14ac:dyDescent="0.2">
      <c r="A37" s="230" t="s">
        <v>261</v>
      </c>
      <c r="B37" s="197"/>
      <c r="C37" s="197"/>
      <c r="D37" s="197"/>
      <c r="E37" s="197"/>
      <c r="F37" s="197"/>
      <c r="G37" s="197"/>
      <c r="H37" s="197"/>
      <c r="I37" s="200"/>
      <c r="J37" s="123">
        <f>SUM(J35+J36)</f>
        <v>171.78</v>
      </c>
      <c r="K37" s="165"/>
    </row>
    <row r="38" spans="1:11" ht="12.75" customHeight="1" x14ac:dyDescent="0.2">
      <c r="A38" s="125" t="s">
        <v>190</v>
      </c>
      <c r="B38" s="231" t="s">
        <v>262</v>
      </c>
      <c r="C38" s="197"/>
      <c r="D38" s="197"/>
      <c r="E38" s="197"/>
      <c r="F38" s="197"/>
      <c r="G38" s="197"/>
      <c r="H38" s="197"/>
      <c r="I38" s="200"/>
      <c r="J38" s="126">
        <f>ROUND(I51*J37,2)</f>
        <v>63.22</v>
      </c>
      <c r="K38" s="165"/>
    </row>
    <row r="39" spans="1:11" ht="12.75" customHeight="1" x14ac:dyDescent="0.2">
      <c r="A39" s="232" t="s">
        <v>261</v>
      </c>
      <c r="B39" s="197"/>
      <c r="C39" s="197"/>
      <c r="D39" s="197"/>
      <c r="E39" s="197"/>
      <c r="F39" s="197"/>
      <c r="G39" s="197"/>
      <c r="H39" s="197"/>
      <c r="I39" s="200"/>
      <c r="J39" s="127">
        <f>J37+J38</f>
        <v>235</v>
      </c>
      <c r="K39" s="165"/>
    </row>
    <row r="40" spans="1:11" ht="12.75" customHeight="1" x14ac:dyDescent="0.2">
      <c r="A40" s="225"/>
      <c r="B40" s="197"/>
      <c r="C40" s="197"/>
      <c r="D40" s="197"/>
      <c r="E40" s="197"/>
      <c r="F40" s="197"/>
      <c r="G40" s="197"/>
      <c r="H40" s="197"/>
      <c r="I40" s="197"/>
      <c r="J40" s="200"/>
      <c r="K40" s="163"/>
    </row>
    <row r="41" spans="1:11" ht="30" customHeight="1" x14ac:dyDescent="0.2">
      <c r="A41" s="226" t="s">
        <v>263</v>
      </c>
      <c r="B41" s="197"/>
      <c r="C41" s="197"/>
      <c r="D41" s="197"/>
      <c r="E41" s="197"/>
      <c r="F41" s="197"/>
      <c r="G41" s="197"/>
      <c r="H41" s="197"/>
      <c r="I41" s="197"/>
      <c r="J41" s="200"/>
    </row>
    <row r="42" spans="1:11" ht="30" customHeight="1" x14ac:dyDescent="0.2">
      <c r="A42" s="128" t="s">
        <v>264</v>
      </c>
      <c r="B42" s="233" t="s">
        <v>265</v>
      </c>
      <c r="C42" s="197"/>
      <c r="D42" s="197"/>
      <c r="E42" s="197"/>
      <c r="F42" s="197"/>
      <c r="G42" s="197"/>
      <c r="H42" s="200"/>
      <c r="I42" s="113" t="s">
        <v>266</v>
      </c>
      <c r="J42" s="113" t="s">
        <v>267</v>
      </c>
    </row>
    <row r="43" spans="1:11" ht="12.75" customHeight="1" x14ac:dyDescent="0.2">
      <c r="A43" s="121" t="s">
        <v>185</v>
      </c>
      <c r="B43" s="231" t="s">
        <v>268</v>
      </c>
      <c r="C43" s="197"/>
      <c r="D43" s="197"/>
      <c r="E43" s="197"/>
      <c r="F43" s="197"/>
      <c r="G43" s="197"/>
      <c r="H43" s="200"/>
      <c r="I43" s="129">
        <v>0.2</v>
      </c>
      <c r="J43" s="130">
        <f t="shared" ref="J43:J50" si="1">ROUND($J$30*I43,2)</f>
        <v>302.58</v>
      </c>
    </row>
    <row r="44" spans="1:11" ht="12.75" customHeight="1" x14ac:dyDescent="0.2">
      <c r="A44" s="121" t="s">
        <v>187</v>
      </c>
      <c r="B44" s="231" t="s">
        <v>269</v>
      </c>
      <c r="C44" s="197"/>
      <c r="D44" s="197"/>
      <c r="E44" s="197"/>
      <c r="F44" s="197"/>
      <c r="G44" s="197"/>
      <c r="H44" s="200"/>
      <c r="I44" s="129">
        <v>2.5000000000000001E-2</v>
      </c>
      <c r="J44" s="130">
        <f t="shared" si="1"/>
        <v>37.82</v>
      </c>
    </row>
    <row r="45" spans="1:11" ht="12.75" customHeight="1" x14ac:dyDescent="0.2">
      <c r="A45" s="121" t="s">
        <v>190</v>
      </c>
      <c r="B45" s="231" t="s">
        <v>270</v>
      </c>
      <c r="C45" s="197"/>
      <c r="D45" s="200"/>
      <c r="E45" s="131" t="s">
        <v>271</v>
      </c>
      <c r="F45" s="132">
        <v>0.03</v>
      </c>
      <c r="G45" s="131" t="s">
        <v>272</v>
      </c>
      <c r="H45" s="133">
        <v>1</v>
      </c>
      <c r="I45" s="134">
        <f>ROUND((F45*H45),6)</f>
        <v>0.03</v>
      </c>
      <c r="J45" s="130">
        <f t="shared" si="1"/>
        <v>45.39</v>
      </c>
    </row>
    <row r="46" spans="1:11" ht="12.75" customHeight="1" x14ac:dyDescent="0.2">
      <c r="A46" s="121" t="s">
        <v>192</v>
      </c>
      <c r="B46" s="231" t="s">
        <v>273</v>
      </c>
      <c r="C46" s="197"/>
      <c r="D46" s="197"/>
      <c r="E46" s="197"/>
      <c r="F46" s="197"/>
      <c r="G46" s="197"/>
      <c r="H46" s="200"/>
      <c r="I46" s="129">
        <v>1.4999999999999999E-2</v>
      </c>
      <c r="J46" s="130">
        <f t="shared" si="1"/>
        <v>22.69</v>
      </c>
    </row>
    <row r="47" spans="1:11" ht="12.75" customHeight="1" x14ac:dyDescent="0.2">
      <c r="A47" s="121" t="s">
        <v>250</v>
      </c>
      <c r="B47" s="231" t="s">
        <v>274</v>
      </c>
      <c r="C47" s="197"/>
      <c r="D47" s="197"/>
      <c r="E47" s="197"/>
      <c r="F47" s="197"/>
      <c r="G47" s="197"/>
      <c r="H47" s="200"/>
      <c r="I47" s="129">
        <v>0.01</v>
      </c>
      <c r="J47" s="130">
        <f t="shared" si="1"/>
        <v>15.13</v>
      </c>
    </row>
    <row r="48" spans="1:11" ht="12.75" customHeight="1" x14ac:dyDescent="0.2">
      <c r="A48" s="121" t="s">
        <v>275</v>
      </c>
      <c r="B48" s="231" t="s">
        <v>276</v>
      </c>
      <c r="C48" s="197"/>
      <c r="D48" s="197"/>
      <c r="E48" s="197"/>
      <c r="F48" s="197"/>
      <c r="G48" s="197"/>
      <c r="H48" s="200"/>
      <c r="I48" s="129">
        <v>6.0000000000000001E-3</v>
      </c>
      <c r="J48" s="130">
        <f t="shared" si="1"/>
        <v>9.08</v>
      </c>
    </row>
    <row r="49" spans="1:10" ht="12.75" customHeight="1" x14ac:dyDescent="0.2">
      <c r="A49" s="121" t="s">
        <v>277</v>
      </c>
      <c r="B49" s="231" t="s">
        <v>278</v>
      </c>
      <c r="C49" s="197"/>
      <c r="D49" s="197"/>
      <c r="E49" s="197"/>
      <c r="F49" s="197"/>
      <c r="G49" s="197"/>
      <c r="H49" s="200"/>
      <c r="I49" s="129">
        <v>2E-3</v>
      </c>
      <c r="J49" s="130">
        <f t="shared" si="1"/>
        <v>3.03</v>
      </c>
    </row>
    <row r="50" spans="1:10" ht="12.75" customHeight="1" x14ac:dyDescent="0.2">
      <c r="A50" s="121" t="s">
        <v>279</v>
      </c>
      <c r="B50" s="231" t="s">
        <v>280</v>
      </c>
      <c r="C50" s="197"/>
      <c r="D50" s="197"/>
      <c r="E50" s="197"/>
      <c r="F50" s="197"/>
      <c r="G50" s="197"/>
      <c r="H50" s="200"/>
      <c r="I50" s="129">
        <v>0.08</v>
      </c>
      <c r="J50" s="130">
        <f t="shared" si="1"/>
        <v>121.03</v>
      </c>
    </row>
    <row r="51" spans="1:10" ht="12.75" customHeight="1" x14ac:dyDescent="0.2">
      <c r="A51" s="232" t="s">
        <v>261</v>
      </c>
      <c r="B51" s="197"/>
      <c r="C51" s="197"/>
      <c r="D51" s="197"/>
      <c r="E51" s="197"/>
      <c r="F51" s="197"/>
      <c r="G51" s="197"/>
      <c r="H51" s="200"/>
      <c r="I51" s="135">
        <f t="shared" ref="I51:J51" si="2">SUM(I43:I50)</f>
        <v>0.36800000000000005</v>
      </c>
      <c r="J51" s="127">
        <f t="shared" si="2"/>
        <v>556.74999999999989</v>
      </c>
    </row>
    <row r="52" spans="1:10" ht="12.75" customHeight="1" x14ac:dyDescent="0.2">
      <c r="A52" s="225"/>
      <c r="B52" s="197"/>
      <c r="C52" s="197"/>
      <c r="D52" s="197"/>
      <c r="E52" s="197"/>
      <c r="F52" s="197"/>
      <c r="G52" s="197"/>
      <c r="H52" s="197"/>
      <c r="I52" s="197"/>
      <c r="J52" s="200"/>
    </row>
    <row r="53" spans="1:10" ht="15.75" customHeight="1" x14ac:dyDescent="0.2">
      <c r="A53" s="226" t="s">
        <v>281</v>
      </c>
      <c r="B53" s="197"/>
      <c r="C53" s="197"/>
      <c r="D53" s="197"/>
      <c r="E53" s="197"/>
      <c r="F53" s="197"/>
      <c r="G53" s="197"/>
      <c r="H53" s="197"/>
      <c r="I53" s="197"/>
      <c r="J53" s="200"/>
    </row>
    <row r="54" spans="1:10" ht="15.75" customHeight="1" x14ac:dyDescent="0.2">
      <c r="A54" s="128" t="s">
        <v>282</v>
      </c>
      <c r="B54" s="233" t="s">
        <v>283</v>
      </c>
      <c r="C54" s="197"/>
      <c r="D54" s="197"/>
      <c r="E54" s="197"/>
      <c r="F54" s="197"/>
      <c r="G54" s="197"/>
      <c r="H54" s="197"/>
      <c r="I54" s="200"/>
      <c r="J54" s="113" t="s">
        <v>258</v>
      </c>
    </row>
    <row r="55" spans="1:10" ht="12.75" customHeight="1" x14ac:dyDescent="0.2">
      <c r="A55" s="121" t="s">
        <v>185</v>
      </c>
      <c r="B55" s="231" t="s">
        <v>504</v>
      </c>
      <c r="C55" s="197"/>
      <c r="D55" s="197"/>
      <c r="E55" s="197"/>
      <c r="F55" s="197"/>
      <c r="G55" s="197"/>
      <c r="H55" s="197"/>
      <c r="I55" s="200"/>
      <c r="J55" s="130">
        <f>IF(ROUND((I58*I56*I57)-(J24*I59),2)&lt;0,0,ROUND((I58*I56*I57)-(J24*I59),2))</f>
        <v>106.18</v>
      </c>
    </row>
    <row r="56" spans="1:10" ht="12.75" customHeight="1" x14ac:dyDescent="0.2">
      <c r="A56" s="121"/>
      <c r="B56" s="244" t="s">
        <v>285</v>
      </c>
      <c r="C56" s="197"/>
      <c r="D56" s="197"/>
      <c r="E56" s="197"/>
      <c r="F56" s="197"/>
      <c r="G56" s="197"/>
      <c r="H56" s="200"/>
      <c r="I56" s="136">
        <v>4</v>
      </c>
      <c r="J56" s="137" t="s">
        <v>286</v>
      </c>
    </row>
    <row r="57" spans="1:10" ht="12.75" customHeight="1" x14ac:dyDescent="0.2">
      <c r="A57" s="121"/>
      <c r="B57" s="244" t="s">
        <v>287</v>
      </c>
      <c r="C57" s="197"/>
      <c r="D57" s="197"/>
      <c r="E57" s="197"/>
      <c r="F57" s="197"/>
      <c r="G57" s="197"/>
      <c r="H57" s="200"/>
      <c r="I57" s="138">
        <v>2</v>
      </c>
      <c r="J57" s="137"/>
    </row>
    <row r="58" spans="1:10" ht="12.75" customHeight="1" x14ac:dyDescent="0.2">
      <c r="A58" s="121"/>
      <c r="B58" s="244" t="s">
        <v>288</v>
      </c>
      <c r="C58" s="197"/>
      <c r="D58" s="197"/>
      <c r="E58" s="197"/>
      <c r="F58" s="197"/>
      <c r="G58" s="197"/>
      <c r="H58" s="200"/>
      <c r="I58" s="139">
        <v>22</v>
      </c>
      <c r="J58" s="137"/>
    </row>
    <row r="59" spans="1:10" ht="12.75" customHeight="1" x14ac:dyDescent="0.2">
      <c r="A59" s="121"/>
      <c r="B59" s="244" t="s">
        <v>289</v>
      </c>
      <c r="C59" s="197"/>
      <c r="D59" s="197"/>
      <c r="E59" s="197"/>
      <c r="F59" s="197"/>
      <c r="G59" s="197"/>
      <c r="H59" s="200"/>
      <c r="I59" s="140">
        <v>0.06</v>
      </c>
      <c r="J59" s="137"/>
    </row>
    <row r="60" spans="1:10" ht="12.75" customHeight="1" x14ac:dyDescent="0.2">
      <c r="A60" s="121" t="s">
        <v>187</v>
      </c>
      <c r="B60" s="231" t="s">
        <v>290</v>
      </c>
      <c r="C60" s="197"/>
      <c r="D60" s="197"/>
      <c r="E60" s="197"/>
      <c r="F60" s="197"/>
      <c r="G60" s="197"/>
      <c r="H60" s="197"/>
      <c r="I60" s="200"/>
      <c r="J60" s="130">
        <f>SUM(I61-(I61*I62))</f>
        <v>17.916666666666668</v>
      </c>
    </row>
    <row r="61" spans="1:10" ht="12.75" customHeight="1" x14ac:dyDescent="0.2">
      <c r="A61" s="121"/>
      <c r="B61" s="244" t="s">
        <v>505</v>
      </c>
      <c r="C61" s="197"/>
      <c r="D61" s="197"/>
      <c r="E61" s="197"/>
      <c r="F61" s="197"/>
      <c r="G61" s="197"/>
      <c r="H61" s="200"/>
      <c r="I61" s="166">
        <f>215/12</f>
        <v>17.916666666666668</v>
      </c>
      <c r="J61" s="137" t="s">
        <v>286</v>
      </c>
    </row>
    <row r="62" spans="1:10" ht="12.75" customHeight="1" x14ac:dyDescent="0.2">
      <c r="A62" s="141"/>
      <c r="B62" s="244" t="s">
        <v>292</v>
      </c>
      <c r="C62" s="197"/>
      <c r="D62" s="197"/>
      <c r="E62" s="197"/>
      <c r="F62" s="197"/>
      <c r="G62" s="197"/>
      <c r="H62" s="200"/>
      <c r="I62" s="142">
        <v>0</v>
      </c>
      <c r="J62" s="137"/>
    </row>
    <row r="63" spans="1:10" ht="12.75" customHeight="1" x14ac:dyDescent="0.2">
      <c r="A63" s="167" t="s">
        <v>190</v>
      </c>
      <c r="B63" s="267" t="s">
        <v>293</v>
      </c>
      <c r="C63" s="197"/>
      <c r="D63" s="197"/>
      <c r="E63" s="197"/>
      <c r="F63" s="197"/>
      <c r="G63" s="197"/>
      <c r="H63" s="197"/>
      <c r="I63" s="200"/>
      <c r="J63" s="168">
        <v>19.420000000000002</v>
      </c>
    </row>
    <row r="64" spans="1:10" ht="12.75" customHeight="1" x14ac:dyDescent="0.2">
      <c r="A64" s="232" t="s">
        <v>253</v>
      </c>
      <c r="B64" s="197"/>
      <c r="C64" s="197"/>
      <c r="D64" s="197"/>
      <c r="E64" s="197"/>
      <c r="F64" s="197"/>
      <c r="G64" s="197"/>
      <c r="H64" s="197"/>
      <c r="I64" s="200"/>
      <c r="J64" s="127">
        <f>SUM(J55:J63)</f>
        <v>143.51666666666668</v>
      </c>
    </row>
    <row r="65" spans="1:11" ht="12.75" customHeight="1" x14ac:dyDescent="0.2">
      <c r="A65" s="225"/>
      <c r="B65" s="197"/>
      <c r="C65" s="197"/>
      <c r="D65" s="197"/>
      <c r="E65" s="197"/>
      <c r="F65" s="197"/>
      <c r="G65" s="197"/>
      <c r="H65" s="197"/>
      <c r="I65" s="197"/>
      <c r="J65" s="200"/>
    </row>
    <row r="66" spans="1:11" ht="15.75" customHeight="1" x14ac:dyDescent="0.2">
      <c r="A66" s="226" t="s">
        <v>294</v>
      </c>
      <c r="B66" s="197"/>
      <c r="C66" s="197"/>
      <c r="D66" s="197"/>
      <c r="E66" s="197"/>
      <c r="F66" s="197"/>
      <c r="G66" s="197"/>
      <c r="H66" s="197"/>
      <c r="I66" s="197"/>
      <c r="J66" s="200"/>
    </row>
    <row r="67" spans="1:11" ht="15.75" customHeight="1" x14ac:dyDescent="0.2">
      <c r="A67" s="113">
        <v>2</v>
      </c>
      <c r="B67" s="240" t="s">
        <v>295</v>
      </c>
      <c r="C67" s="197"/>
      <c r="D67" s="197"/>
      <c r="E67" s="197"/>
      <c r="F67" s="197"/>
      <c r="G67" s="197"/>
      <c r="H67" s="197"/>
      <c r="I67" s="200"/>
      <c r="J67" s="113" t="s">
        <v>258</v>
      </c>
    </row>
    <row r="68" spans="1:11" ht="14.25" customHeight="1" x14ac:dyDescent="0.2">
      <c r="A68" s="87" t="s">
        <v>256</v>
      </c>
      <c r="B68" s="87"/>
      <c r="C68" s="213" t="s">
        <v>506</v>
      </c>
      <c r="D68" s="197"/>
      <c r="E68" s="197"/>
      <c r="F68" s="197"/>
      <c r="G68" s="197"/>
      <c r="H68" s="197"/>
      <c r="I68" s="200"/>
      <c r="J68" s="143">
        <f>J39</f>
        <v>235</v>
      </c>
    </row>
    <row r="69" spans="1:11" ht="14.25" customHeight="1" x14ac:dyDescent="0.2">
      <c r="A69" s="87" t="s">
        <v>264</v>
      </c>
      <c r="B69" s="87"/>
      <c r="C69" s="213" t="s">
        <v>265</v>
      </c>
      <c r="D69" s="197"/>
      <c r="E69" s="197"/>
      <c r="F69" s="197"/>
      <c r="G69" s="197"/>
      <c r="H69" s="197"/>
      <c r="I69" s="200"/>
      <c r="J69" s="143">
        <f>J51</f>
        <v>556.74999999999989</v>
      </c>
    </row>
    <row r="70" spans="1:11" ht="14.25" customHeight="1" x14ac:dyDescent="0.2">
      <c r="A70" s="87" t="s">
        <v>282</v>
      </c>
      <c r="B70" s="87"/>
      <c r="C70" s="213" t="s">
        <v>283</v>
      </c>
      <c r="D70" s="197"/>
      <c r="E70" s="197"/>
      <c r="F70" s="197"/>
      <c r="G70" s="197"/>
      <c r="H70" s="197"/>
      <c r="I70" s="200"/>
      <c r="J70" s="143">
        <f>J64</f>
        <v>143.51666666666668</v>
      </c>
      <c r="K70" s="163"/>
    </row>
    <row r="71" spans="1:11" ht="14.25" customHeight="1" x14ac:dyDescent="0.2">
      <c r="A71" s="243" t="s">
        <v>261</v>
      </c>
      <c r="B71" s="197"/>
      <c r="C71" s="197"/>
      <c r="D71" s="197"/>
      <c r="E71" s="197"/>
      <c r="F71" s="197"/>
      <c r="G71" s="197"/>
      <c r="H71" s="197"/>
      <c r="I71" s="200"/>
      <c r="J71" s="144">
        <f>SUM(J68+J69+J70)</f>
        <v>935.26666666666654</v>
      </c>
    </row>
    <row r="72" spans="1:11" ht="12.75" customHeight="1" x14ac:dyDescent="0.2">
      <c r="A72" s="225"/>
      <c r="B72" s="197"/>
      <c r="C72" s="197"/>
      <c r="D72" s="197"/>
      <c r="E72" s="197"/>
      <c r="F72" s="197"/>
      <c r="G72" s="197"/>
      <c r="H72" s="197"/>
      <c r="I72" s="197"/>
      <c r="J72" s="200"/>
    </row>
    <row r="73" spans="1:11" ht="15.75" customHeight="1" x14ac:dyDescent="0.2">
      <c r="A73" s="226" t="s">
        <v>297</v>
      </c>
      <c r="B73" s="197"/>
      <c r="C73" s="197"/>
      <c r="D73" s="197"/>
      <c r="E73" s="197"/>
      <c r="F73" s="197"/>
      <c r="G73" s="197"/>
      <c r="H73" s="197"/>
      <c r="I73" s="197"/>
      <c r="J73" s="200"/>
    </row>
    <row r="74" spans="1:11" ht="15.75" customHeight="1" x14ac:dyDescent="0.2">
      <c r="A74" s="128">
        <v>3</v>
      </c>
      <c r="B74" s="240" t="s">
        <v>298</v>
      </c>
      <c r="C74" s="197"/>
      <c r="D74" s="197"/>
      <c r="E74" s="197"/>
      <c r="F74" s="197"/>
      <c r="G74" s="197"/>
      <c r="H74" s="197"/>
      <c r="I74" s="200"/>
      <c r="J74" s="128" t="s">
        <v>299</v>
      </c>
    </row>
    <row r="75" spans="1:11" ht="46.5" customHeight="1" x14ac:dyDescent="0.2">
      <c r="A75" s="121" t="s">
        <v>185</v>
      </c>
      <c r="B75" s="213" t="s">
        <v>507</v>
      </c>
      <c r="C75" s="197"/>
      <c r="D75" s="197"/>
      <c r="E75" s="197"/>
      <c r="F75" s="197"/>
      <c r="G75" s="197"/>
      <c r="H75" s="197"/>
      <c r="I75" s="200"/>
      <c r="J75" s="130">
        <f>ROUND((($J$30/12)+($J$35/12)+($J$30*0.121/12))*(30/30)*0.05,2)</f>
        <v>7.59</v>
      </c>
    </row>
    <row r="76" spans="1:11" ht="14.25" customHeight="1" x14ac:dyDescent="0.2">
      <c r="A76" s="121" t="s">
        <v>187</v>
      </c>
      <c r="B76" s="213" t="s">
        <v>301</v>
      </c>
      <c r="C76" s="197"/>
      <c r="D76" s="197"/>
      <c r="E76" s="197"/>
      <c r="F76" s="197"/>
      <c r="G76" s="197"/>
      <c r="H76" s="197"/>
      <c r="I76" s="200"/>
      <c r="J76" s="130">
        <f>ROUND($J$75*I50,2)</f>
        <v>0.61</v>
      </c>
    </row>
    <row r="77" spans="1:11" ht="27" customHeight="1" x14ac:dyDescent="0.2">
      <c r="A77" s="121" t="s">
        <v>190</v>
      </c>
      <c r="B77" s="213" t="s">
        <v>508</v>
      </c>
      <c r="C77" s="197"/>
      <c r="D77" s="197"/>
      <c r="E77" s="197"/>
      <c r="F77" s="197"/>
      <c r="G77" s="197"/>
      <c r="H77" s="197"/>
      <c r="I77" s="200"/>
      <c r="J77" s="130">
        <f>ROUND(((($J$30/30)*7)/$H$11)*1,2)</f>
        <v>5.88</v>
      </c>
    </row>
    <row r="78" spans="1:11" ht="14.25" customHeight="1" x14ac:dyDescent="0.2">
      <c r="A78" s="121" t="s">
        <v>192</v>
      </c>
      <c r="B78" s="213" t="s">
        <v>303</v>
      </c>
      <c r="C78" s="197"/>
      <c r="D78" s="197"/>
      <c r="E78" s="197"/>
      <c r="F78" s="197"/>
      <c r="G78" s="197"/>
      <c r="H78" s="197"/>
      <c r="I78" s="200"/>
      <c r="J78" s="130">
        <f>ROUND($I$51*J77,2)</f>
        <v>2.16</v>
      </c>
    </row>
    <row r="79" spans="1:11" ht="36" customHeight="1" x14ac:dyDescent="0.2">
      <c r="A79" s="121" t="s">
        <v>250</v>
      </c>
      <c r="B79" s="213" t="s">
        <v>509</v>
      </c>
      <c r="C79" s="197"/>
      <c r="D79" s="197"/>
      <c r="E79" s="197"/>
      <c r="F79" s="197"/>
      <c r="G79" s="197"/>
      <c r="H79" s="200"/>
      <c r="I79" s="145">
        <v>0.04</v>
      </c>
      <c r="J79" s="130">
        <f>ROUND($J$30*I79,2)</f>
        <v>60.52</v>
      </c>
    </row>
    <row r="80" spans="1:11" ht="12.75" customHeight="1" x14ac:dyDescent="0.2">
      <c r="A80" s="232" t="s">
        <v>261</v>
      </c>
      <c r="B80" s="197"/>
      <c r="C80" s="197"/>
      <c r="D80" s="197"/>
      <c r="E80" s="197"/>
      <c r="F80" s="197"/>
      <c r="G80" s="197"/>
      <c r="H80" s="197"/>
      <c r="I80" s="200"/>
      <c r="J80" s="127">
        <f>SUM(J75:J79)</f>
        <v>76.760000000000005</v>
      </c>
    </row>
    <row r="81" spans="1:10" ht="12.75" customHeight="1" x14ac:dyDescent="0.2">
      <c r="A81" s="225"/>
      <c r="B81" s="197"/>
      <c r="C81" s="197"/>
      <c r="D81" s="197"/>
      <c r="E81" s="197"/>
      <c r="F81" s="197"/>
      <c r="G81" s="197"/>
      <c r="H81" s="197"/>
      <c r="I81" s="197"/>
      <c r="J81" s="200"/>
    </row>
    <row r="82" spans="1:10" ht="15.75" customHeight="1" x14ac:dyDescent="0.2">
      <c r="A82" s="226" t="s">
        <v>305</v>
      </c>
      <c r="B82" s="197"/>
      <c r="C82" s="197"/>
      <c r="D82" s="197"/>
      <c r="E82" s="197"/>
      <c r="F82" s="197"/>
      <c r="G82" s="197"/>
      <c r="H82" s="197"/>
      <c r="I82" s="197"/>
      <c r="J82" s="200"/>
    </row>
    <row r="83" spans="1:10" ht="15" customHeight="1" x14ac:dyDescent="0.2">
      <c r="A83" s="245" t="s">
        <v>306</v>
      </c>
      <c r="B83" s="197"/>
      <c r="C83" s="197"/>
      <c r="D83" s="197"/>
      <c r="E83" s="197"/>
      <c r="F83" s="197"/>
      <c r="G83" s="197"/>
      <c r="H83" s="197"/>
      <c r="I83" s="200"/>
      <c r="J83" s="146">
        <f>J86+J30+J35+J36</f>
        <v>1821.95</v>
      </c>
    </row>
    <row r="84" spans="1:10" ht="14.25" customHeight="1" x14ac:dyDescent="0.2">
      <c r="A84" s="246"/>
      <c r="B84" s="197"/>
      <c r="C84" s="197"/>
      <c r="D84" s="197"/>
      <c r="E84" s="197"/>
      <c r="F84" s="197"/>
      <c r="G84" s="197"/>
      <c r="H84" s="197"/>
      <c r="I84" s="197"/>
      <c r="J84" s="200"/>
    </row>
    <row r="85" spans="1:10" ht="15" customHeight="1" x14ac:dyDescent="0.25">
      <c r="A85" s="147" t="s">
        <v>307</v>
      </c>
      <c r="B85" s="233" t="s">
        <v>308</v>
      </c>
      <c r="C85" s="197"/>
      <c r="D85" s="197"/>
      <c r="E85" s="197"/>
      <c r="F85" s="197"/>
      <c r="G85" s="197"/>
      <c r="H85" s="197"/>
      <c r="I85" s="200"/>
      <c r="J85" s="147" t="s">
        <v>258</v>
      </c>
    </row>
    <row r="86" spans="1:10" ht="12.75" customHeight="1" x14ac:dyDescent="0.2">
      <c r="A86" s="125" t="s">
        <v>185</v>
      </c>
      <c r="B86" s="213" t="s">
        <v>309</v>
      </c>
      <c r="C86" s="197"/>
      <c r="D86" s="197"/>
      <c r="E86" s="197"/>
      <c r="F86" s="197"/>
      <c r="G86" s="197"/>
      <c r="H86" s="200"/>
      <c r="I86" s="124">
        <v>9.0749999999999997E-2</v>
      </c>
      <c r="J86" s="130">
        <f>ROUND(($J$30*I86),2)</f>
        <v>137.29</v>
      </c>
    </row>
    <row r="87" spans="1:10" ht="12.75" customHeight="1" x14ac:dyDescent="0.2">
      <c r="A87" s="125" t="s">
        <v>187</v>
      </c>
      <c r="B87" s="231" t="s">
        <v>510</v>
      </c>
      <c r="C87" s="197"/>
      <c r="D87" s="197"/>
      <c r="E87" s="197"/>
      <c r="F87" s="197"/>
      <c r="G87" s="197"/>
      <c r="H87" s="197"/>
      <c r="I87" s="200"/>
      <c r="J87" s="148">
        <f>ROUND((($J$83/30)*2.96)/12,2)</f>
        <v>14.98</v>
      </c>
    </row>
    <row r="88" spans="1:10" ht="12.75" customHeight="1" x14ac:dyDescent="0.2">
      <c r="A88" s="125" t="s">
        <v>190</v>
      </c>
      <c r="B88" s="231" t="s">
        <v>511</v>
      </c>
      <c r="C88" s="197"/>
      <c r="D88" s="197"/>
      <c r="E88" s="197"/>
      <c r="F88" s="197"/>
      <c r="G88" s="197"/>
      <c r="H88" s="197"/>
      <c r="I88" s="200"/>
      <c r="J88" s="148">
        <f>ROUND((($J$83/30)*5)/12*0.015,2)</f>
        <v>0.38</v>
      </c>
    </row>
    <row r="89" spans="1:10" ht="12.75" customHeight="1" x14ac:dyDescent="0.2">
      <c r="A89" s="125" t="s">
        <v>192</v>
      </c>
      <c r="B89" s="231" t="s">
        <v>512</v>
      </c>
      <c r="C89" s="197"/>
      <c r="D89" s="197"/>
      <c r="E89" s="197"/>
      <c r="F89" s="197"/>
      <c r="G89" s="197"/>
      <c r="H89" s="197"/>
      <c r="I89" s="200"/>
      <c r="J89" s="126">
        <f>ROUND(((($J$83/30)*0.97)/12),2)</f>
        <v>4.91</v>
      </c>
    </row>
    <row r="90" spans="1:10" ht="12.75" customHeight="1" x14ac:dyDescent="0.2">
      <c r="A90" s="121" t="s">
        <v>250</v>
      </c>
      <c r="B90" s="213" t="s">
        <v>513</v>
      </c>
      <c r="C90" s="197"/>
      <c r="D90" s="197"/>
      <c r="E90" s="197"/>
      <c r="F90" s="197"/>
      <c r="G90" s="197"/>
      <c r="H90" s="197"/>
      <c r="I90" s="200"/>
      <c r="J90" s="130">
        <f>ROUND(((((J30*0.121)+(I51)*(J30*0.121))*(4/12)))*0.02,2)+ROUND(((I50*J30+I51*J35+J64-J55-J60+J80)*4/12)*0.02,2)</f>
        <v>3.4299999999999997</v>
      </c>
    </row>
    <row r="91" spans="1:10" ht="12.75" customHeight="1" x14ac:dyDescent="0.2">
      <c r="A91" s="149" t="s">
        <v>275</v>
      </c>
      <c r="B91" s="247" t="s">
        <v>514</v>
      </c>
      <c r="C91" s="197"/>
      <c r="D91" s="197"/>
      <c r="E91" s="197"/>
      <c r="F91" s="197"/>
      <c r="G91" s="197"/>
      <c r="H91" s="197"/>
      <c r="I91" s="200"/>
      <c r="J91" s="126">
        <f>ROUND(((($J$83/30)*3)/12),2)</f>
        <v>15.18</v>
      </c>
    </row>
    <row r="92" spans="1:10" ht="12.75" customHeight="1" x14ac:dyDescent="0.2">
      <c r="A92" s="232" t="s">
        <v>261</v>
      </c>
      <c r="B92" s="197"/>
      <c r="C92" s="197"/>
      <c r="D92" s="197"/>
      <c r="E92" s="197"/>
      <c r="F92" s="197"/>
      <c r="G92" s="197"/>
      <c r="H92" s="197"/>
      <c r="I92" s="200"/>
      <c r="J92" s="150">
        <f>SUM(J86:J91)</f>
        <v>176.17</v>
      </c>
    </row>
    <row r="93" spans="1:10" ht="14.25" customHeight="1" x14ac:dyDescent="0.2">
      <c r="A93" s="125" t="s">
        <v>277</v>
      </c>
      <c r="B93" s="231" t="s">
        <v>315</v>
      </c>
      <c r="C93" s="197"/>
      <c r="D93" s="197"/>
      <c r="E93" s="197"/>
      <c r="F93" s="197"/>
      <c r="G93" s="197"/>
      <c r="H93" s="197"/>
      <c r="I93" s="200"/>
      <c r="J93" s="126">
        <f>ROUND(I51*J92,2)</f>
        <v>64.83</v>
      </c>
    </row>
    <row r="94" spans="1:10" ht="12.75" customHeight="1" x14ac:dyDescent="0.2">
      <c r="A94" s="232" t="s">
        <v>261</v>
      </c>
      <c r="B94" s="197"/>
      <c r="C94" s="197"/>
      <c r="D94" s="197"/>
      <c r="E94" s="197"/>
      <c r="F94" s="197"/>
      <c r="G94" s="197"/>
      <c r="H94" s="197"/>
      <c r="I94" s="200"/>
      <c r="J94" s="127">
        <f>SUM(J92:J93)</f>
        <v>241</v>
      </c>
    </row>
    <row r="95" spans="1:10" ht="15.75" customHeight="1" x14ac:dyDescent="0.2">
      <c r="A95" s="226" t="s">
        <v>316</v>
      </c>
      <c r="B95" s="197"/>
      <c r="C95" s="197"/>
      <c r="D95" s="197"/>
      <c r="E95" s="197"/>
      <c r="F95" s="197"/>
      <c r="G95" s="197"/>
      <c r="H95" s="197"/>
      <c r="I95" s="197"/>
      <c r="J95" s="200"/>
    </row>
    <row r="96" spans="1:10" ht="15" customHeight="1" x14ac:dyDescent="0.2">
      <c r="A96" s="128" t="s">
        <v>317</v>
      </c>
      <c r="B96" s="233" t="s">
        <v>318</v>
      </c>
      <c r="C96" s="197"/>
      <c r="D96" s="197"/>
      <c r="E96" s="197"/>
      <c r="F96" s="197"/>
      <c r="G96" s="197"/>
      <c r="H96" s="197"/>
      <c r="I96" s="200"/>
      <c r="J96" s="151" t="s">
        <v>258</v>
      </c>
    </row>
    <row r="97" spans="1:11" ht="12.75" customHeight="1" x14ac:dyDescent="0.2">
      <c r="A97" s="121" t="s">
        <v>185</v>
      </c>
      <c r="B97" s="231" t="s">
        <v>319</v>
      </c>
      <c r="C97" s="197"/>
      <c r="D97" s="197"/>
      <c r="E97" s="197"/>
      <c r="F97" s="197"/>
      <c r="G97" s="197"/>
      <c r="H97" s="197"/>
      <c r="I97" s="200"/>
      <c r="J97" s="130">
        <v>0</v>
      </c>
      <c r="K97" s="165"/>
    </row>
    <row r="98" spans="1:11" ht="12.75" customHeight="1" x14ac:dyDescent="0.2">
      <c r="A98" s="248" t="s">
        <v>261</v>
      </c>
      <c r="B98" s="197"/>
      <c r="C98" s="197"/>
      <c r="D98" s="197"/>
      <c r="E98" s="197"/>
      <c r="F98" s="197"/>
      <c r="G98" s="197"/>
      <c r="H98" s="197"/>
      <c r="I98" s="200"/>
      <c r="J98" s="130">
        <v>0</v>
      </c>
      <c r="K98" s="165"/>
    </row>
    <row r="99" spans="1:11" ht="12.75" customHeight="1" x14ac:dyDescent="0.2">
      <c r="A99" s="125" t="s">
        <v>187</v>
      </c>
      <c r="B99" s="231" t="s">
        <v>320</v>
      </c>
      <c r="C99" s="197"/>
      <c r="D99" s="197"/>
      <c r="E99" s="197"/>
      <c r="F99" s="197"/>
      <c r="G99" s="197"/>
      <c r="H99" s="197"/>
      <c r="I99" s="200"/>
      <c r="J99" s="126">
        <f>ROUND(I51*J98,2)</f>
        <v>0</v>
      </c>
      <c r="K99" s="165"/>
    </row>
    <row r="100" spans="1:11" ht="12.75" customHeight="1" x14ac:dyDescent="0.2">
      <c r="A100" s="232" t="s">
        <v>261</v>
      </c>
      <c r="B100" s="197"/>
      <c r="C100" s="197"/>
      <c r="D100" s="197"/>
      <c r="E100" s="197"/>
      <c r="F100" s="197"/>
      <c r="G100" s="197"/>
      <c r="H100" s="197"/>
      <c r="I100" s="200"/>
      <c r="J100" s="127">
        <f>SUM(J98:J99)</f>
        <v>0</v>
      </c>
      <c r="K100" s="165"/>
    </row>
    <row r="101" spans="1:11" ht="12.75" customHeight="1" x14ac:dyDescent="0.2">
      <c r="A101" s="256"/>
      <c r="B101" s="197"/>
      <c r="C101" s="197"/>
      <c r="D101" s="197"/>
      <c r="E101" s="197"/>
      <c r="F101" s="197"/>
      <c r="G101" s="197"/>
      <c r="H101" s="197"/>
      <c r="I101" s="197"/>
      <c r="J101" s="200"/>
    </row>
    <row r="102" spans="1:11" ht="15.75" customHeight="1" x14ac:dyDescent="0.2">
      <c r="A102" s="226" t="s">
        <v>321</v>
      </c>
      <c r="B102" s="197"/>
      <c r="C102" s="197"/>
      <c r="D102" s="197"/>
      <c r="E102" s="197"/>
      <c r="F102" s="197"/>
      <c r="G102" s="197"/>
      <c r="H102" s="197"/>
      <c r="I102" s="197"/>
      <c r="J102" s="200"/>
    </row>
    <row r="103" spans="1:11" ht="15.75" customHeight="1" x14ac:dyDescent="0.2">
      <c r="A103" s="113">
        <v>4</v>
      </c>
      <c r="B103" s="240" t="s">
        <v>322</v>
      </c>
      <c r="C103" s="197"/>
      <c r="D103" s="197"/>
      <c r="E103" s="197"/>
      <c r="F103" s="197"/>
      <c r="G103" s="197"/>
      <c r="H103" s="197"/>
      <c r="I103" s="200"/>
      <c r="J103" s="151" t="s">
        <v>258</v>
      </c>
    </row>
    <row r="104" spans="1:11" ht="14.25" customHeight="1" x14ac:dyDescent="0.2">
      <c r="A104" s="87" t="s">
        <v>307</v>
      </c>
      <c r="B104" s="213" t="s">
        <v>323</v>
      </c>
      <c r="C104" s="197"/>
      <c r="D104" s="197"/>
      <c r="E104" s="197"/>
      <c r="F104" s="197"/>
      <c r="G104" s="197"/>
      <c r="H104" s="197"/>
      <c r="I104" s="200"/>
      <c r="J104" s="130">
        <f>J94</f>
        <v>241</v>
      </c>
    </row>
    <row r="105" spans="1:11" ht="14.25" customHeight="1" x14ac:dyDescent="0.2">
      <c r="A105" s="87" t="s">
        <v>324</v>
      </c>
      <c r="B105" s="213" t="s">
        <v>325</v>
      </c>
      <c r="C105" s="197"/>
      <c r="D105" s="197"/>
      <c r="E105" s="197"/>
      <c r="F105" s="197"/>
      <c r="G105" s="197"/>
      <c r="H105" s="197"/>
      <c r="I105" s="200"/>
      <c r="J105" s="130">
        <f>J100</f>
        <v>0</v>
      </c>
    </row>
    <row r="106" spans="1:11" ht="14.25" customHeight="1" x14ac:dyDescent="0.2">
      <c r="A106" s="243" t="s">
        <v>261</v>
      </c>
      <c r="B106" s="197"/>
      <c r="C106" s="197"/>
      <c r="D106" s="197"/>
      <c r="E106" s="197"/>
      <c r="F106" s="197"/>
      <c r="G106" s="197"/>
      <c r="H106" s="197"/>
      <c r="I106" s="200"/>
      <c r="J106" s="127">
        <f>SUM(J104+J105)</f>
        <v>241</v>
      </c>
    </row>
    <row r="107" spans="1:11" ht="12.75" customHeight="1" x14ac:dyDescent="0.2">
      <c r="A107" s="225"/>
      <c r="B107" s="197"/>
      <c r="C107" s="197"/>
      <c r="D107" s="197"/>
      <c r="E107" s="197"/>
      <c r="F107" s="197"/>
      <c r="G107" s="197"/>
      <c r="H107" s="197"/>
      <c r="I107" s="197"/>
      <c r="J107" s="200"/>
    </row>
    <row r="108" spans="1:11" ht="15.75" customHeight="1" x14ac:dyDescent="0.2">
      <c r="A108" s="226" t="s">
        <v>326</v>
      </c>
      <c r="B108" s="197"/>
      <c r="C108" s="197"/>
      <c r="D108" s="197"/>
      <c r="E108" s="197"/>
      <c r="F108" s="197"/>
      <c r="G108" s="197"/>
      <c r="H108" s="197"/>
      <c r="I108" s="197"/>
      <c r="J108" s="200"/>
    </row>
    <row r="109" spans="1:11" ht="15.75" customHeight="1" x14ac:dyDescent="0.2">
      <c r="A109" s="128">
        <v>5</v>
      </c>
      <c r="B109" s="233" t="s">
        <v>327</v>
      </c>
      <c r="C109" s="197"/>
      <c r="D109" s="197"/>
      <c r="E109" s="197"/>
      <c r="F109" s="197"/>
      <c r="G109" s="197"/>
      <c r="H109" s="197"/>
      <c r="I109" s="200"/>
      <c r="J109" s="128" t="s">
        <v>258</v>
      </c>
    </row>
    <row r="110" spans="1:11" ht="12.75" customHeight="1" x14ac:dyDescent="0.2">
      <c r="A110" s="121" t="s">
        <v>185</v>
      </c>
      <c r="B110" s="231" t="s">
        <v>328</v>
      </c>
      <c r="C110" s="197"/>
      <c r="D110" s="197"/>
      <c r="E110" s="197"/>
      <c r="F110" s="197"/>
      <c r="G110" s="197"/>
      <c r="H110" s="197"/>
      <c r="I110" s="200"/>
      <c r="J110" s="130">
        <f>'INSUMOS - Sapiranga'!D169</f>
        <v>185.33500000000001</v>
      </c>
    </row>
    <row r="111" spans="1:11" ht="12.75" customHeight="1" x14ac:dyDescent="0.2">
      <c r="A111" s="121" t="s">
        <v>187</v>
      </c>
      <c r="B111" s="231" t="s">
        <v>329</v>
      </c>
      <c r="C111" s="197"/>
      <c r="D111" s="197"/>
      <c r="E111" s="197"/>
      <c r="F111" s="197"/>
      <c r="G111" s="197"/>
      <c r="H111" s="197"/>
      <c r="I111" s="200"/>
      <c r="J111" s="152">
        <f>'INSUMOS - Sapiranga'!D166+'INSUMOS - Sapiranga'!D167</f>
        <v>1504.7443333333335</v>
      </c>
    </row>
    <row r="112" spans="1:11" ht="12.75" customHeight="1" x14ac:dyDescent="0.2">
      <c r="A112" s="121" t="s">
        <v>190</v>
      </c>
      <c r="B112" s="231" t="s">
        <v>330</v>
      </c>
      <c r="C112" s="197"/>
      <c r="D112" s="197"/>
      <c r="E112" s="197"/>
      <c r="F112" s="197"/>
      <c r="G112" s="197"/>
      <c r="H112" s="197"/>
      <c r="I112" s="200"/>
      <c r="J112" s="152">
        <f>'INSUMOS - Sapiranga'!D168</f>
        <v>129.54708333333335</v>
      </c>
    </row>
    <row r="113" spans="1:10" ht="12.75" customHeight="1" x14ac:dyDescent="0.2">
      <c r="A113" s="121" t="s">
        <v>192</v>
      </c>
      <c r="B113" s="231" t="s">
        <v>331</v>
      </c>
      <c r="C113" s="197"/>
      <c r="D113" s="197"/>
      <c r="E113" s="197"/>
      <c r="F113" s="197"/>
      <c r="G113" s="197"/>
      <c r="H113" s="197"/>
      <c r="I113" s="200"/>
      <c r="J113" s="152" t="s">
        <v>332</v>
      </c>
    </row>
    <row r="114" spans="1:10" ht="12.75" customHeight="1" x14ac:dyDescent="0.2">
      <c r="A114" s="232" t="s">
        <v>253</v>
      </c>
      <c r="B114" s="197"/>
      <c r="C114" s="197"/>
      <c r="D114" s="197"/>
      <c r="E114" s="197"/>
      <c r="F114" s="197"/>
      <c r="G114" s="197"/>
      <c r="H114" s="197"/>
      <c r="I114" s="200"/>
      <c r="J114" s="153">
        <f>SUM(J110:J113)</f>
        <v>1819.626416666667</v>
      </c>
    </row>
    <row r="115" spans="1:10" ht="12.75" customHeight="1" x14ac:dyDescent="0.2">
      <c r="A115" s="225"/>
      <c r="B115" s="197"/>
      <c r="C115" s="197"/>
      <c r="D115" s="197"/>
      <c r="E115" s="197"/>
      <c r="F115" s="197"/>
      <c r="G115" s="197"/>
      <c r="H115" s="197"/>
      <c r="I115" s="197"/>
      <c r="J115" s="200"/>
    </row>
    <row r="116" spans="1:10" ht="15.75" customHeight="1" x14ac:dyDescent="0.2">
      <c r="A116" s="226" t="s">
        <v>333</v>
      </c>
      <c r="B116" s="197"/>
      <c r="C116" s="197"/>
      <c r="D116" s="197"/>
      <c r="E116" s="197"/>
      <c r="F116" s="197"/>
      <c r="G116" s="197"/>
      <c r="H116" s="197"/>
      <c r="I116" s="197"/>
      <c r="J116" s="200"/>
    </row>
    <row r="117" spans="1:10" ht="30" customHeight="1" x14ac:dyDescent="0.2">
      <c r="A117" s="128">
        <v>6</v>
      </c>
      <c r="B117" s="233" t="s">
        <v>334</v>
      </c>
      <c r="C117" s="197"/>
      <c r="D117" s="197"/>
      <c r="E117" s="197"/>
      <c r="F117" s="197"/>
      <c r="G117" s="197"/>
      <c r="H117" s="200"/>
      <c r="I117" s="113" t="s">
        <v>266</v>
      </c>
      <c r="J117" s="154" t="s">
        <v>335</v>
      </c>
    </row>
    <row r="118" spans="1:10" ht="12.75" customHeight="1" x14ac:dyDescent="0.2">
      <c r="A118" s="229" t="s">
        <v>336</v>
      </c>
      <c r="B118" s="197"/>
      <c r="C118" s="197"/>
      <c r="D118" s="197"/>
      <c r="E118" s="197"/>
      <c r="F118" s="197"/>
      <c r="G118" s="197"/>
      <c r="H118" s="200"/>
      <c r="I118" s="155" t="s">
        <v>286</v>
      </c>
      <c r="J118" s="156">
        <f>SUM(J30+J71+J80+J106+J114)</f>
        <v>4585.5330833333337</v>
      </c>
    </row>
    <row r="119" spans="1:10" ht="15.75" customHeight="1" x14ac:dyDescent="0.2">
      <c r="A119" s="157" t="s">
        <v>185</v>
      </c>
      <c r="B119" s="257" t="s">
        <v>337</v>
      </c>
      <c r="C119" s="197"/>
      <c r="D119" s="197"/>
      <c r="E119" s="197"/>
      <c r="F119" s="197"/>
      <c r="G119" s="197"/>
      <c r="H119" s="200"/>
      <c r="I119" s="122">
        <v>0.03</v>
      </c>
      <c r="J119" s="130">
        <f>ROUND(I119*J118,2)</f>
        <v>137.57</v>
      </c>
    </row>
    <row r="120" spans="1:10" ht="12.75" customHeight="1" x14ac:dyDescent="0.2">
      <c r="A120" s="229" t="s">
        <v>338</v>
      </c>
      <c r="B120" s="197"/>
      <c r="C120" s="197"/>
      <c r="D120" s="197"/>
      <c r="E120" s="197"/>
      <c r="F120" s="197"/>
      <c r="G120" s="197"/>
      <c r="H120" s="200"/>
      <c r="I120" s="158" t="s">
        <v>286</v>
      </c>
      <c r="J120" s="156">
        <f>SUM(J30+J71+J80+J106+J114+J119)</f>
        <v>4723.1030833333334</v>
      </c>
    </row>
    <row r="121" spans="1:10" ht="15.75" customHeight="1" x14ac:dyDescent="0.2">
      <c r="A121" s="157" t="s">
        <v>187</v>
      </c>
      <c r="B121" s="257" t="s">
        <v>339</v>
      </c>
      <c r="C121" s="197"/>
      <c r="D121" s="197"/>
      <c r="E121" s="197"/>
      <c r="F121" s="197"/>
      <c r="G121" s="197"/>
      <c r="H121" s="200"/>
      <c r="I121" s="122">
        <v>6.7900000000000002E-2</v>
      </c>
      <c r="J121" s="130">
        <f>ROUND(I121*J120,2)</f>
        <v>320.7</v>
      </c>
    </row>
    <row r="122" spans="1:10" ht="12.75" customHeight="1" x14ac:dyDescent="0.2">
      <c r="A122" s="229" t="s">
        <v>340</v>
      </c>
      <c r="B122" s="197"/>
      <c r="C122" s="197"/>
      <c r="D122" s="197"/>
      <c r="E122" s="197"/>
      <c r="F122" s="197"/>
      <c r="G122" s="197"/>
      <c r="H122" s="200"/>
      <c r="I122" s="158" t="s">
        <v>286</v>
      </c>
      <c r="J122" s="156">
        <f>SUM(J30+J71+J80+J106+J114+J119+J121)</f>
        <v>5043.8030833333332</v>
      </c>
    </row>
    <row r="123" spans="1:10" ht="15.75" customHeight="1" x14ac:dyDescent="0.2">
      <c r="A123" s="157" t="s">
        <v>190</v>
      </c>
      <c r="B123" s="257" t="s">
        <v>341</v>
      </c>
      <c r="C123" s="197"/>
      <c r="D123" s="197"/>
      <c r="E123" s="197"/>
      <c r="F123" s="197"/>
      <c r="G123" s="197"/>
      <c r="H123" s="200"/>
      <c r="I123" s="122" t="s">
        <v>286</v>
      </c>
      <c r="J123" s="137" t="s">
        <v>286</v>
      </c>
    </row>
    <row r="124" spans="1:10" ht="12.75" customHeight="1" x14ac:dyDescent="0.2">
      <c r="A124" s="121"/>
      <c r="B124" s="231" t="s">
        <v>342</v>
      </c>
      <c r="C124" s="197"/>
      <c r="D124" s="197"/>
      <c r="E124" s="197"/>
      <c r="F124" s="197"/>
      <c r="G124" s="197"/>
      <c r="H124" s="200"/>
      <c r="I124" s="122" t="s">
        <v>286</v>
      </c>
      <c r="J124" s="137" t="s">
        <v>286</v>
      </c>
    </row>
    <row r="125" spans="1:10" ht="12.75" customHeight="1" x14ac:dyDescent="0.2">
      <c r="A125" s="121"/>
      <c r="B125" s="231" t="s">
        <v>515</v>
      </c>
      <c r="C125" s="197"/>
      <c r="D125" s="197"/>
      <c r="E125" s="197"/>
      <c r="F125" s="197"/>
      <c r="G125" s="197"/>
      <c r="H125" s="200"/>
      <c r="I125" s="159">
        <v>7.5999999999999998E-2</v>
      </c>
      <c r="J125" s="130">
        <f t="shared" ref="J125:J126" si="3">ROUND(($J$122/(1-$I$134))*I125,2)</f>
        <v>431.92</v>
      </c>
    </row>
    <row r="126" spans="1:10" ht="12.75" customHeight="1" x14ac:dyDescent="0.2">
      <c r="A126" s="121"/>
      <c r="B126" s="231" t="s">
        <v>516</v>
      </c>
      <c r="C126" s="197"/>
      <c r="D126" s="197"/>
      <c r="E126" s="197"/>
      <c r="F126" s="197"/>
      <c r="G126" s="197"/>
      <c r="H126" s="200"/>
      <c r="I126" s="159">
        <v>1.6500000000000001E-2</v>
      </c>
      <c r="J126" s="130">
        <f t="shared" si="3"/>
        <v>93.77</v>
      </c>
    </row>
    <row r="127" spans="1:10" ht="27" customHeight="1" x14ac:dyDescent="0.2">
      <c r="A127" s="121"/>
      <c r="B127" s="213" t="s">
        <v>345</v>
      </c>
      <c r="C127" s="197"/>
      <c r="D127" s="197"/>
      <c r="E127" s="197"/>
      <c r="F127" s="197"/>
      <c r="G127" s="197"/>
      <c r="H127" s="200"/>
      <c r="I127" s="159" t="s">
        <v>286</v>
      </c>
      <c r="J127" s="137" t="s">
        <v>286</v>
      </c>
    </row>
    <row r="128" spans="1:10" ht="27" customHeight="1" x14ac:dyDescent="0.2">
      <c r="A128" s="121"/>
      <c r="B128" s="213" t="s">
        <v>346</v>
      </c>
      <c r="C128" s="197"/>
      <c r="D128" s="197"/>
      <c r="E128" s="197"/>
      <c r="F128" s="197"/>
      <c r="G128" s="197"/>
      <c r="H128" s="200"/>
      <c r="I128" s="159" t="s">
        <v>286</v>
      </c>
      <c r="J128" s="137" t="s">
        <v>286</v>
      </c>
    </row>
    <row r="129" spans="1:10" ht="12.75" customHeight="1" x14ac:dyDescent="0.2">
      <c r="A129" s="121"/>
      <c r="B129" s="231" t="s">
        <v>347</v>
      </c>
      <c r="C129" s="197"/>
      <c r="D129" s="197"/>
      <c r="E129" s="197"/>
      <c r="F129" s="197"/>
      <c r="G129" s="197"/>
      <c r="H129" s="200"/>
      <c r="I129" s="159" t="s">
        <v>286</v>
      </c>
      <c r="J129" s="137" t="s">
        <v>286</v>
      </c>
    </row>
    <row r="130" spans="1:10" ht="12.75" customHeight="1" x14ac:dyDescent="0.2">
      <c r="A130" s="121"/>
      <c r="B130" s="231" t="s">
        <v>348</v>
      </c>
      <c r="C130" s="197"/>
      <c r="D130" s="197"/>
      <c r="E130" s="197"/>
      <c r="F130" s="197"/>
      <c r="G130" s="197"/>
      <c r="H130" s="200"/>
      <c r="I130" s="159" t="s">
        <v>286</v>
      </c>
      <c r="J130" s="137" t="s">
        <v>286</v>
      </c>
    </row>
    <row r="131" spans="1:10" ht="12.75" customHeight="1" x14ac:dyDescent="0.2">
      <c r="A131" s="121"/>
      <c r="B131" s="231" t="s">
        <v>517</v>
      </c>
      <c r="C131" s="197"/>
      <c r="D131" s="197"/>
      <c r="E131" s="197"/>
      <c r="F131" s="197"/>
      <c r="G131" s="197"/>
      <c r="H131" s="200"/>
      <c r="I131" s="159">
        <v>0.02</v>
      </c>
      <c r="J131" s="130">
        <f>ROUND(($J$122/(1-$I$134))*I131,2)</f>
        <v>113.66</v>
      </c>
    </row>
    <row r="132" spans="1:10" ht="12.75" customHeight="1" x14ac:dyDescent="0.2">
      <c r="A132" s="232" t="s">
        <v>261</v>
      </c>
      <c r="B132" s="197"/>
      <c r="C132" s="197"/>
      <c r="D132" s="197"/>
      <c r="E132" s="197"/>
      <c r="F132" s="197"/>
      <c r="G132" s="197"/>
      <c r="H132" s="197"/>
      <c r="I132" s="200"/>
      <c r="J132" s="127">
        <f>SUM(J119+J121+J125+J126+J131)</f>
        <v>1097.6200000000001</v>
      </c>
    </row>
    <row r="133" spans="1:10" ht="12.75" customHeight="1" x14ac:dyDescent="0.2">
      <c r="A133" s="225"/>
      <c r="B133" s="197"/>
      <c r="C133" s="197"/>
      <c r="D133" s="197"/>
      <c r="E133" s="197"/>
      <c r="F133" s="197"/>
      <c r="G133" s="197"/>
      <c r="H133" s="197"/>
      <c r="I133" s="197"/>
      <c r="J133" s="200"/>
    </row>
    <row r="134" spans="1:10" ht="14.25" customHeight="1" x14ac:dyDescent="0.2">
      <c r="A134" s="259" t="s">
        <v>350</v>
      </c>
      <c r="B134" s="197"/>
      <c r="C134" s="197"/>
      <c r="D134" s="197"/>
      <c r="E134" s="197"/>
      <c r="F134" s="197"/>
      <c r="G134" s="197"/>
      <c r="H134" s="200"/>
      <c r="I134" s="160">
        <f t="shared" ref="I134:J134" si="4">SUM(I125:I131)</f>
        <v>0.1125</v>
      </c>
      <c r="J134" s="156">
        <f t="shared" si="4"/>
        <v>639.35</v>
      </c>
    </row>
    <row r="135" spans="1:10" ht="12.75" customHeight="1" x14ac:dyDescent="0.2">
      <c r="A135" s="260" t="s">
        <v>351</v>
      </c>
      <c r="B135" s="203"/>
      <c r="C135" s="261"/>
      <c r="D135" s="258" t="s">
        <v>352</v>
      </c>
      <c r="E135" s="197"/>
      <c r="F135" s="197"/>
      <c r="G135" s="197"/>
      <c r="H135" s="197"/>
      <c r="I135" s="197"/>
      <c r="J135" s="200"/>
    </row>
    <row r="136" spans="1:10" ht="12.75" customHeight="1" x14ac:dyDescent="0.2">
      <c r="A136" s="262"/>
      <c r="B136" s="178"/>
      <c r="C136" s="216"/>
      <c r="D136" s="258" t="s">
        <v>353</v>
      </c>
      <c r="E136" s="197"/>
      <c r="F136" s="197"/>
      <c r="G136" s="197"/>
      <c r="H136" s="197"/>
      <c r="I136" s="197"/>
      <c r="J136" s="200"/>
    </row>
    <row r="137" spans="1:10" ht="12.75" customHeight="1" x14ac:dyDescent="0.2">
      <c r="A137" s="263"/>
      <c r="B137" s="209"/>
      <c r="C137" s="210"/>
      <c r="D137" s="258" t="s">
        <v>354</v>
      </c>
      <c r="E137" s="197"/>
      <c r="F137" s="197"/>
      <c r="G137" s="197"/>
      <c r="H137" s="197"/>
      <c r="I137" s="197"/>
      <c r="J137" s="200"/>
    </row>
    <row r="138" spans="1:10" ht="12.75" customHeight="1" x14ac:dyDescent="0.2">
      <c r="A138" s="225"/>
      <c r="B138" s="197"/>
      <c r="C138" s="197"/>
      <c r="D138" s="197"/>
      <c r="E138" s="197"/>
      <c r="F138" s="197"/>
      <c r="G138" s="197"/>
      <c r="H138" s="197"/>
      <c r="I138" s="197"/>
      <c r="J138" s="200"/>
    </row>
    <row r="139" spans="1:10" ht="45.75" customHeight="1" x14ac:dyDescent="0.2">
      <c r="A139" s="264" t="s">
        <v>355</v>
      </c>
      <c r="B139" s="197"/>
      <c r="C139" s="197"/>
      <c r="D139" s="197"/>
      <c r="E139" s="197"/>
      <c r="F139" s="197"/>
      <c r="G139" s="197"/>
      <c r="H139" s="197"/>
      <c r="I139" s="197"/>
      <c r="J139" s="200"/>
    </row>
    <row r="140" spans="1:10" ht="14.25" customHeight="1" x14ac:dyDescent="0.2">
      <c r="A140" s="265" t="s">
        <v>356</v>
      </c>
      <c r="B140" s="197"/>
      <c r="C140" s="197"/>
      <c r="D140" s="197"/>
      <c r="E140" s="197"/>
      <c r="F140" s="197"/>
      <c r="G140" s="197"/>
      <c r="H140" s="197"/>
      <c r="I140" s="200"/>
      <c r="J140" s="161" t="s">
        <v>258</v>
      </c>
    </row>
    <row r="141" spans="1:10" ht="14.25" customHeight="1" x14ac:dyDescent="0.2">
      <c r="A141" s="162" t="s">
        <v>185</v>
      </c>
      <c r="B141" s="253" t="s">
        <v>357</v>
      </c>
      <c r="C141" s="197"/>
      <c r="D141" s="197"/>
      <c r="E141" s="197"/>
      <c r="F141" s="197"/>
      <c r="G141" s="197"/>
      <c r="H141" s="197"/>
      <c r="I141" s="200"/>
      <c r="J141" s="152">
        <f>J30</f>
        <v>1512.88</v>
      </c>
    </row>
    <row r="142" spans="1:10" ht="14.25" customHeight="1" x14ac:dyDescent="0.2">
      <c r="A142" s="162" t="s">
        <v>187</v>
      </c>
      <c r="B142" s="253" t="s">
        <v>254</v>
      </c>
      <c r="C142" s="197"/>
      <c r="D142" s="197"/>
      <c r="E142" s="197"/>
      <c r="F142" s="197"/>
      <c r="G142" s="197"/>
      <c r="H142" s="197"/>
      <c r="I142" s="200"/>
      <c r="J142" s="152">
        <f>J71</f>
        <v>935.26666666666654</v>
      </c>
    </row>
    <row r="143" spans="1:10" ht="14.25" customHeight="1" x14ac:dyDescent="0.2">
      <c r="A143" s="162" t="s">
        <v>190</v>
      </c>
      <c r="B143" s="253" t="s">
        <v>358</v>
      </c>
      <c r="C143" s="197"/>
      <c r="D143" s="197"/>
      <c r="E143" s="197"/>
      <c r="F143" s="197"/>
      <c r="G143" s="197"/>
      <c r="H143" s="197"/>
      <c r="I143" s="200"/>
      <c r="J143" s="152">
        <f>J80</f>
        <v>76.760000000000005</v>
      </c>
    </row>
    <row r="144" spans="1:10" ht="14.25" customHeight="1" x14ac:dyDescent="0.2">
      <c r="A144" s="162" t="s">
        <v>192</v>
      </c>
      <c r="B144" s="253" t="s">
        <v>359</v>
      </c>
      <c r="C144" s="197"/>
      <c r="D144" s="197"/>
      <c r="E144" s="197"/>
      <c r="F144" s="197"/>
      <c r="G144" s="197"/>
      <c r="H144" s="197"/>
      <c r="I144" s="200"/>
      <c r="J144" s="152">
        <f>J106</f>
        <v>241</v>
      </c>
    </row>
    <row r="145" spans="1:10" ht="14.25" customHeight="1" x14ac:dyDescent="0.2">
      <c r="A145" s="162" t="s">
        <v>250</v>
      </c>
      <c r="B145" s="253" t="s">
        <v>360</v>
      </c>
      <c r="C145" s="197"/>
      <c r="D145" s="197"/>
      <c r="E145" s="197"/>
      <c r="F145" s="197"/>
      <c r="G145" s="197"/>
      <c r="H145" s="197"/>
      <c r="I145" s="200"/>
      <c r="J145" s="152">
        <f>J114</f>
        <v>1819.626416666667</v>
      </c>
    </row>
    <row r="146" spans="1:10" ht="14.25" customHeight="1" x14ac:dyDescent="0.2">
      <c r="A146" s="254" t="s">
        <v>361</v>
      </c>
      <c r="B146" s="197"/>
      <c r="C146" s="197"/>
      <c r="D146" s="197"/>
      <c r="E146" s="197"/>
      <c r="F146" s="197"/>
      <c r="G146" s="197"/>
      <c r="H146" s="197"/>
      <c r="I146" s="200"/>
      <c r="J146" s="153">
        <f>SUM(J141:J145)</f>
        <v>4585.5330833333337</v>
      </c>
    </row>
    <row r="147" spans="1:10" ht="14.25" customHeight="1" x14ac:dyDescent="0.2">
      <c r="A147" s="162" t="s">
        <v>275</v>
      </c>
      <c r="B147" s="253" t="s">
        <v>362</v>
      </c>
      <c r="C147" s="197"/>
      <c r="D147" s="197"/>
      <c r="E147" s="197"/>
      <c r="F147" s="197"/>
      <c r="G147" s="197"/>
      <c r="H147" s="197"/>
      <c r="I147" s="200"/>
      <c r="J147" s="152">
        <f>J132</f>
        <v>1097.6200000000001</v>
      </c>
    </row>
    <row r="148" spans="1:10" ht="14.25" customHeight="1" x14ac:dyDescent="0.2">
      <c r="A148" s="254" t="s">
        <v>363</v>
      </c>
      <c r="B148" s="197"/>
      <c r="C148" s="197"/>
      <c r="D148" s="197"/>
      <c r="E148" s="197"/>
      <c r="F148" s="197"/>
      <c r="G148" s="197"/>
      <c r="H148" s="197"/>
      <c r="I148" s="200"/>
      <c r="J148" s="153">
        <f>SUM(J146:J147)</f>
        <v>5683.1530833333336</v>
      </c>
    </row>
    <row r="149" spans="1:10" ht="12.75" customHeight="1" x14ac:dyDescent="0.2">
      <c r="A149" s="225"/>
      <c r="B149" s="197"/>
      <c r="C149" s="197"/>
      <c r="D149" s="197"/>
      <c r="E149" s="197"/>
      <c r="F149" s="197"/>
      <c r="G149" s="197"/>
      <c r="H149" s="197"/>
      <c r="I149" s="197"/>
      <c r="J149" s="200"/>
    </row>
    <row r="150" spans="1:10" ht="12.75" customHeight="1" x14ac:dyDescent="0.2">
      <c r="A150" s="255" t="s">
        <v>364</v>
      </c>
      <c r="B150" s="203"/>
      <c r="C150" s="203"/>
      <c r="D150" s="203"/>
      <c r="E150" s="203"/>
      <c r="F150" s="203"/>
      <c r="G150" s="203"/>
      <c r="H150" s="203"/>
      <c r="I150" s="203"/>
      <c r="J150" s="203"/>
    </row>
    <row r="151" spans="1:10" ht="12.75" customHeight="1" x14ac:dyDescent="0.2">
      <c r="A151" s="249" t="s">
        <v>365</v>
      </c>
      <c r="B151" s="197"/>
      <c r="C151" s="197"/>
      <c r="D151" s="197"/>
      <c r="E151" s="197"/>
      <c r="F151" s="197"/>
      <c r="G151" s="200"/>
      <c r="H151" s="249" t="s">
        <v>366</v>
      </c>
      <c r="I151" s="197"/>
      <c r="J151" s="200"/>
    </row>
    <row r="152" spans="1:10" ht="12.75" customHeight="1" x14ac:dyDescent="0.2">
      <c r="A152" s="250" t="s">
        <v>156</v>
      </c>
      <c r="B152" s="203"/>
      <c r="C152" s="203"/>
      <c r="D152" s="203"/>
      <c r="E152" s="203"/>
      <c r="F152" s="203"/>
      <c r="G152" s="203"/>
      <c r="H152" s="251">
        <v>1</v>
      </c>
      <c r="I152" s="203"/>
      <c r="J152" s="203"/>
    </row>
    <row r="153" spans="1:10" ht="12.75" customHeight="1" x14ac:dyDescent="0.2">
      <c r="A153" s="252"/>
      <c r="B153" s="197"/>
      <c r="C153" s="197"/>
      <c r="D153" s="197"/>
      <c r="E153" s="197"/>
      <c r="F153" s="197"/>
      <c r="G153" s="197"/>
      <c r="H153" s="197"/>
      <c r="I153" s="197"/>
      <c r="J153" s="200"/>
    </row>
    <row r="154" spans="1:10" ht="12.75" customHeight="1" x14ac:dyDescent="0.2"/>
    <row r="155" spans="1:10" ht="12.75" customHeight="1" x14ac:dyDescent="0.2"/>
    <row r="156" spans="1:10" ht="12.75" customHeight="1" x14ac:dyDescent="0.2"/>
    <row r="157" spans="1:10" ht="12.75" customHeight="1" x14ac:dyDescent="0.2"/>
    <row r="158" spans="1:10" ht="12.75" customHeight="1" x14ac:dyDescent="0.2"/>
    <row r="159" spans="1:10" ht="12.75" customHeight="1" x14ac:dyDescent="0.2"/>
    <row r="160" spans="1:1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68">
    <mergeCell ref="A139:J139"/>
    <mergeCell ref="A140:I140"/>
    <mergeCell ref="B141:I141"/>
    <mergeCell ref="B142:I142"/>
    <mergeCell ref="B143:I143"/>
    <mergeCell ref="B129:H129"/>
    <mergeCell ref="B130:H130"/>
    <mergeCell ref="B131:H131"/>
    <mergeCell ref="A132:I132"/>
    <mergeCell ref="A133:J133"/>
    <mergeCell ref="A134:H134"/>
    <mergeCell ref="A135:C137"/>
    <mergeCell ref="D137:J137"/>
    <mergeCell ref="A138:J138"/>
    <mergeCell ref="A153:J153"/>
    <mergeCell ref="B144:I144"/>
    <mergeCell ref="B145:I145"/>
    <mergeCell ref="A146:I146"/>
    <mergeCell ref="B147:I147"/>
    <mergeCell ref="A148:I148"/>
    <mergeCell ref="A149:J149"/>
    <mergeCell ref="A150:J150"/>
    <mergeCell ref="A101:J101"/>
    <mergeCell ref="A102:J102"/>
    <mergeCell ref="B103:I103"/>
    <mergeCell ref="B104:I104"/>
    <mergeCell ref="B105:I105"/>
    <mergeCell ref="A106:I106"/>
    <mergeCell ref="A107:J107"/>
    <mergeCell ref="A108:J108"/>
    <mergeCell ref="B109:I109"/>
    <mergeCell ref="B110:I110"/>
    <mergeCell ref="B111:I111"/>
    <mergeCell ref="B112:I112"/>
    <mergeCell ref="B113:I113"/>
    <mergeCell ref="A114:I114"/>
    <mergeCell ref="A115:J115"/>
    <mergeCell ref="A116:J116"/>
    <mergeCell ref="A95:J95"/>
    <mergeCell ref="B96:I96"/>
    <mergeCell ref="B97:I97"/>
    <mergeCell ref="A98:I98"/>
    <mergeCell ref="B99:I99"/>
    <mergeCell ref="A100:I100"/>
    <mergeCell ref="A151:G151"/>
    <mergeCell ref="H151:J151"/>
    <mergeCell ref="A152:G152"/>
    <mergeCell ref="H152:J152"/>
    <mergeCell ref="B117:H117"/>
    <mergeCell ref="A118:H118"/>
    <mergeCell ref="B119:H119"/>
    <mergeCell ref="A120:H120"/>
    <mergeCell ref="B121:H121"/>
    <mergeCell ref="A122:H122"/>
    <mergeCell ref="B123:H123"/>
    <mergeCell ref="B124:H124"/>
    <mergeCell ref="B125:H125"/>
    <mergeCell ref="B126:H126"/>
    <mergeCell ref="B127:H127"/>
    <mergeCell ref="B128:H128"/>
    <mergeCell ref="D135:J135"/>
    <mergeCell ref="D136:J136"/>
    <mergeCell ref="B86:H86"/>
    <mergeCell ref="B87:I87"/>
    <mergeCell ref="B88:I88"/>
    <mergeCell ref="B89:I89"/>
    <mergeCell ref="B90:I90"/>
    <mergeCell ref="B91:I91"/>
    <mergeCell ref="A92:I92"/>
    <mergeCell ref="B93:I93"/>
    <mergeCell ref="A94:I94"/>
    <mergeCell ref="B77:I77"/>
    <mergeCell ref="B78:I78"/>
    <mergeCell ref="B79:H79"/>
    <mergeCell ref="A80:I80"/>
    <mergeCell ref="A81:J81"/>
    <mergeCell ref="A82:J82"/>
    <mergeCell ref="A83:I83"/>
    <mergeCell ref="A84:J84"/>
    <mergeCell ref="B85:I85"/>
    <mergeCell ref="C68:I68"/>
    <mergeCell ref="C69:I69"/>
    <mergeCell ref="C70:I70"/>
    <mergeCell ref="A71:I71"/>
    <mergeCell ref="A72:J72"/>
    <mergeCell ref="A73:J73"/>
    <mergeCell ref="B74:I74"/>
    <mergeCell ref="B75:I75"/>
    <mergeCell ref="B76:I76"/>
    <mergeCell ref="B59:H59"/>
    <mergeCell ref="B60:I60"/>
    <mergeCell ref="B61:H61"/>
    <mergeCell ref="B62:H62"/>
    <mergeCell ref="B63:I63"/>
    <mergeCell ref="A64:I64"/>
    <mergeCell ref="A65:J65"/>
    <mergeCell ref="A66:J66"/>
    <mergeCell ref="B67:I67"/>
    <mergeCell ref="B50:H50"/>
    <mergeCell ref="A51:H51"/>
    <mergeCell ref="A52:J52"/>
    <mergeCell ref="A53:J53"/>
    <mergeCell ref="B54:I54"/>
    <mergeCell ref="B55:I55"/>
    <mergeCell ref="B56:H56"/>
    <mergeCell ref="B57:H57"/>
    <mergeCell ref="B58:H58"/>
    <mergeCell ref="B27:I27"/>
    <mergeCell ref="B28:I28"/>
    <mergeCell ref="B29:H29"/>
    <mergeCell ref="A30:I30"/>
    <mergeCell ref="B45:D45"/>
    <mergeCell ref="B46:H46"/>
    <mergeCell ref="B47:H47"/>
    <mergeCell ref="B48:H48"/>
    <mergeCell ref="B49:H49"/>
    <mergeCell ref="B20:G20"/>
    <mergeCell ref="H20:J20"/>
    <mergeCell ref="A21:J21"/>
    <mergeCell ref="A22:J22"/>
    <mergeCell ref="B23:G23"/>
    <mergeCell ref="H23:I23"/>
    <mergeCell ref="B24:I24"/>
    <mergeCell ref="B25:H25"/>
    <mergeCell ref="B26:I26"/>
    <mergeCell ref="A14:J14"/>
    <mergeCell ref="A15:J15"/>
    <mergeCell ref="B16:G16"/>
    <mergeCell ref="H16:J16"/>
    <mergeCell ref="B17:G17"/>
    <mergeCell ref="H17:J17"/>
    <mergeCell ref="B18:G18"/>
    <mergeCell ref="H18:J18"/>
    <mergeCell ref="H19:J19"/>
    <mergeCell ref="B19:G19"/>
    <mergeCell ref="A40:J40"/>
    <mergeCell ref="A41:J41"/>
    <mergeCell ref="B42:H42"/>
    <mergeCell ref="B43:H43"/>
    <mergeCell ref="B44:H44"/>
    <mergeCell ref="A1:J1"/>
    <mergeCell ref="A2:J2"/>
    <mergeCell ref="A3:J3"/>
    <mergeCell ref="A4:G4"/>
    <mergeCell ref="H4:J4"/>
    <mergeCell ref="A5:G5"/>
    <mergeCell ref="H5:J5"/>
    <mergeCell ref="A6:J6"/>
    <mergeCell ref="A7:J7"/>
    <mergeCell ref="B8:G8"/>
    <mergeCell ref="H8:J8"/>
    <mergeCell ref="B9:G9"/>
    <mergeCell ref="H9:J9"/>
    <mergeCell ref="H10:J10"/>
    <mergeCell ref="B10:G10"/>
    <mergeCell ref="B11:G11"/>
    <mergeCell ref="H11:J11"/>
    <mergeCell ref="A12:J12"/>
    <mergeCell ref="A13:J13"/>
    <mergeCell ref="A31:J31"/>
    <mergeCell ref="A32:J32"/>
    <mergeCell ref="A33:J33"/>
    <mergeCell ref="B34:I34"/>
    <mergeCell ref="B35:H35"/>
    <mergeCell ref="B36:H36"/>
    <mergeCell ref="A37:I37"/>
    <mergeCell ref="B38:I38"/>
    <mergeCell ref="A39:I39"/>
  </mergeCells>
  <pageMargins left="0.7" right="0.7" top="0.75" bottom="0.75" header="0" footer="0"/>
  <pageSetup orientation="portrait"/>
  <headerFooter>
    <oddHeader>&amp;C&amp;A</oddHeader>
    <oddFooter>&amp;CPágina &amp;P</oddFooter>
  </headerFooter>
  <colBreaks count="2" manualBreakCount="2">
    <brk man="1"/>
    <brk id="10"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CC00"/>
  </sheetPr>
  <dimension ref="A1:K1000"/>
  <sheetViews>
    <sheetView workbookViewId="0">
      <selection sqref="A1:J1"/>
    </sheetView>
  </sheetViews>
  <sheetFormatPr defaultColWidth="12.5703125" defaultRowHeight="15" customHeight="1" x14ac:dyDescent="0.2"/>
  <cols>
    <col min="1" max="10" width="11.5703125" customWidth="1"/>
    <col min="11" max="11" width="11.42578125" customWidth="1"/>
    <col min="12" max="26" width="8" customWidth="1"/>
  </cols>
  <sheetData>
    <row r="1" spans="1:10" ht="23.25" customHeight="1" x14ac:dyDescent="0.2">
      <c r="A1" s="234" t="s">
        <v>493</v>
      </c>
      <c r="B1" s="197"/>
      <c r="C1" s="197"/>
      <c r="D1" s="197"/>
      <c r="E1" s="197"/>
      <c r="F1" s="197"/>
      <c r="G1" s="197"/>
      <c r="H1" s="197"/>
      <c r="I1" s="197"/>
      <c r="J1" s="200"/>
    </row>
    <row r="2" spans="1:10" ht="24" customHeight="1" x14ac:dyDescent="0.2">
      <c r="A2" s="235" t="s">
        <v>398</v>
      </c>
      <c r="B2" s="197"/>
      <c r="C2" s="197"/>
      <c r="D2" s="197"/>
      <c r="E2" s="197"/>
      <c r="F2" s="197"/>
      <c r="G2" s="197"/>
      <c r="H2" s="197"/>
      <c r="I2" s="197"/>
      <c r="J2" s="200"/>
    </row>
    <row r="3" spans="1:10" ht="46.5" customHeight="1" x14ac:dyDescent="0.2">
      <c r="A3" s="236" t="s">
        <v>518</v>
      </c>
      <c r="B3" s="197"/>
      <c r="C3" s="197"/>
      <c r="D3" s="197"/>
      <c r="E3" s="197"/>
      <c r="F3" s="197"/>
      <c r="G3" s="197"/>
      <c r="H3" s="197"/>
      <c r="I3" s="197"/>
      <c r="J3" s="200"/>
    </row>
    <row r="4" spans="1:10" ht="14.25" customHeight="1" x14ac:dyDescent="0.2">
      <c r="A4" s="213" t="s">
        <v>180</v>
      </c>
      <c r="B4" s="197"/>
      <c r="C4" s="197"/>
      <c r="D4" s="197"/>
      <c r="E4" s="197"/>
      <c r="F4" s="197"/>
      <c r="G4" s="200"/>
      <c r="H4" s="201" t="s">
        <v>226</v>
      </c>
      <c r="I4" s="197"/>
      <c r="J4" s="200"/>
    </row>
    <row r="5" spans="1:10" ht="14.25" customHeight="1" x14ac:dyDescent="0.2">
      <c r="A5" s="213" t="s">
        <v>182</v>
      </c>
      <c r="B5" s="197"/>
      <c r="C5" s="197"/>
      <c r="D5" s="197"/>
      <c r="E5" s="197"/>
      <c r="F5" s="197"/>
      <c r="G5" s="200"/>
      <c r="H5" s="201"/>
      <c r="I5" s="197"/>
      <c r="J5" s="200"/>
    </row>
    <row r="6" spans="1:10" ht="14.25" customHeight="1" x14ac:dyDescent="0.2">
      <c r="A6" s="213" t="s">
        <v>183</v>
      </c>
      <c r="B6" s="197"/>
      <c r="C6" s="197"/>
      <c r="D6" s="197"/>
      <c r="E6" s="197"/>
      <c r="F6" s="197"/>
      <c r="G6" s="197"/>
      <c r="H6" s="197"/>
      <c r="I6" s="197"/>
      <c r="J6" s="200"/>
    </row>
    <row r="7" spans="1:10" ht="15.75" customHeight="1" x14ac:dyDescent="0.2">
      <c r="A7" s="237" t="s">
        <v>184</v>
      </c>
      <c r="B7" s="197"/>
      <c r="C7" s="197"/>
      <c r="D7" s="197"/>
      <c r="E7" s="197"/>
      <c r="F7" s="197"/>
      <c r="G7" s="197"/>
      <c r="H7" s="197"/>
      <c r="I7" s="197"/>
      <c r="J7" s="200"/>
    </row>
    <row r="8" spans="1:10" ht="14.25" customHeight="1" x14ac:dyDescent="0.2">
      <c r="A8" s="87" t="s">
        <v>185</v>
      </c>
      <c r="B8" s="213" t="s">
        <v>186</v>
      </c>
      <c r="C8" s="197"/>
      <c r="D8" s="197"/>
      <c r="E8" s="197"/>
      <c r="F8" s="197"/>
      <c r="G8" s="200"/>
      <c r="H8" s="214"/>
      <c r="I8" s="197"/>
      <c r="J8" s="200"/>
    </row>
    <row r="9" spans="1:10" ht="14.25" customHeight="1" x14ac:dyDescent="0.2">
      <c r="A9" s="87" t="s">
        <v>187</v>
      </c>
      <c r="B9" s="213" t="s">
        <v>227</v>
      </c>
      <c r="C9" s="197"/>
      <c r="D9" s="197"/>
      <c r="E9" s="197"/>
      <c r="F9" s="197"/>
      <c r="G9" s="200"/>
      <c r="H9" s="201" t="s">
        <v>495</v>
      </c>
      <c r="I9" s="197"/>
      <c r="J9" s="200"/>
    </row>
    <row r="10" spans="1:10" ht="39" customHeight="1" x14ac:dyDescent="0.2">
      <c r="A10" s="87" t="s">
        <v>190</v>
      </c>
      <c r="B10" s="213" t="s">
        <v>229</v>
      </c>
      <c r="C10" s="197"/>
      <c r="D10" s="197"/>
      <c r="E10" s="197"/>
      <c r="F10" s="197"/>
      <c r="G10" s="200"/>
      <c r="H10" s="238" t="s">
        <v>519</v>
      </c>
      <c r="I10" s="197"/>
      <c r="J10" s="200"/>
    </row>
    <row r="11" spans="1:10" ht="12.75" customHeight="1" x14ac:dyDescent="0.2">
      <c r="A11" s="87" t="s">
        <v>192</v>
      </c>
      <c r="B11" s="213" t="s">
        <v>520</v>
      </c>
      <c r="C11" s="197"/>
      <c r="D11" s="197"/>
      <c r="E11" s="197"/>
      <c r="F11" s="197"/>
      <c r="G11" s="200"/>
      <c r="H11" s="201">
        <v>60</v>
      </c>
      <c r="I11" s="197"/>
      <c r="J11" s="200"/>
    </row>
    <row r="12" spans="1:10" ht="12.75" customHeight="1" x14ac:dyDescent="0.2">
      <c r="A12" s="225"/>
      <c r="B12" s="197"/>
      <c r="C12" s="197"/>
      <c r="D12" s="197"/>
      <c r="E12" s="197"/>
      <c r="F12" s="197"/>
      <c r="G12" s="197"/>
      <c r="H12" s="197"/>
      <c r="I12" s="197"/>
      <c r="J12" s="200"/>
    </row>
    <row r="13" spans="1:10" ht="48.75" customHeight="1" x14ac:dyDescent="0.2">
      <c r="A13" s="239" t="s">
        <v>521</v>
      </c>
      <c r="B13" s="197"/>
      <c r="C13" s="197"/>
      <c r="D13" s="197"/>
      <c r="E13" s="197"/>
      <c r="F13" s="197"/>
      <c r="G13" s="197"/>
      <c r="H13" s="197"/>
      <c r="I13" s="197"/>
      <c r="J13" s="200"/>
    </row>
    <row r="14" spans="1:10" ht="12.75" customHeight="1" x14ac:dyDescent="0.2">
      <c r="A14" s="225"/>
      <c r="B14" s="197"/>
      <c r="C14" s="197"/>
      <c r="D14" s="197"/>
      <c r="E14" s="197"/>
      <c r="F14" s="197"/>
      <c r="G14" s="197"/>
      <c r="H14" s="197"/>
      <c r="I14" s="197"/>
      <c r="J14" s="200"/>
    </row>
    <row r="15" spans="1:10" ht="15.75" customHeight="1" x14ac:dyDescent="0.2">
      <c r="A15" s="240" t="s">
        <v>233</v>
      </c>
      <c r="B15" s="197"/>
      <c r="C15" s="197"/>
      <c r="D15" s="197"/>
      <c r="E15" s="197"/>
      <c r="F15" s="197"/>
      <c r="G15" s="197"/>
      <c r="H15" s="197"/>
      <c r="I15" s="197"/>
      <c r="J15" s="200"/>
    </row>
    <row r="16" spans="1:10" ht="15.75" customHeight="1" x14ac:dyDescent="0.2">
      <c r="A16" s="87">
        <v>1</v>
      </c>
      <c r="B16" s="213" t="s">
        <v>234</v>
      </c>
      <c r="C16" s="197"/>
      <c r="D16" s="197"/>
      <c r="E16" s="197"/>
      <c r="F16" s="197"/>
      <c r="G16" s="200"/>
      <c r="H16" s="241" t="s">
        <v>209</v>
      </c>
      <c r="I16" s="197"/>
      <c r="J16" s="200"/>
    </row>
    <row r="17" spans="1:11" ht="15.75" customHeight="1" x14ac:dyDescent="0.2">
      <c r="A17" s="87">
        <v>2</v>
      </c>
      <c r="B17" s="213" t="s">
        <v>236</v>
      </c>
      <c r="C17" s="197"/>
      <c r="D17" s="197"/>
      <c r="E17" s="197"/>
      <c r="F17" s="197"/>
      <c r="G17" s="200"/>
      <c r="H17" s="266">
        <v>1578123</v>
      </c>
      <c r="I17" s="197"/>
      <c r="J17" s="200"/>
    </row>
    <row r="18" spans="1:11" ht="15.75" customHeight="1" x14ac:dyDescent="0.2">
      <c r="A18" s="87">
        <v>3</v>
      </c>
      <c r="B18" s="213" t="s">
        <v>238</v>
      </c>
      <c r="C18" s="197"/>
      <c r="D18" s="197"/>
      <c r="E18" s="197"/>
      <c r="F18" s="197"/>
      <c r="G18" s="200"/>
      <c r="H18" s="242">
        <v>1540.51</v>
      </c>
      <c r="I18" s="197"/>
      <c r="J18" s="200"/>
    </row>
    <row r="19" spans="1:11" ht="15.75" customHeight="1" x14ac:dyDescent="0.2">
      <c r="A19" s="87">
        <v>4</v>
      </c>
      <c r="B19" s="213" t="s">
        <v>239</v>
      </c>
      <c r="C19" s="197"/>
      <c r="D19" s="197"/>
      <c r="E19" s="197"/>
      <c r="F19" s="197"/>
      <c r="G19" s="200"/>
      <c r="H19" s="241" t="s">
        <v>402</v>
      </c>
      <c r="I19" s="197"/>
      <c r="J19" s="200"/>
    </row>
    <row r="20" spans="1:11" ht="15.75" customHeight="1" x14ac:dyDescent="0.2">
      <c r="A20" s="87">
        <v>5</v>
      </c>
      <c r="B20" s="213" t="s">
        <v>240</v>
      </c>
      <c r="C20" s="197"/>
      <c r="D20" s="197"/>
      <c r="E20" s="197"/>
      <c r="F20" s="197"/>
      <c r="G20" s="200"/>
      <c r="H20" s="241" t="s">
        <v>373</v>
      </c>
      <c r="I20" s="197"/>
      <c r="J20" s="200"/>
    </row>
    <row r="21" spans="1:11" ht="12.75" customHeight="1" x14ac:dyDescent="0.2">
      <c r="A21" s="225"/>
      <c r="B21" s="197"/>
      <c r="C21" s="197"/>
      <c r="D21" s="197"/>
      <c r="E21" s="197"/>
      <c r="F21" s="197"/>
      <c r="G21" s="197"/>
      <c r="H21" s="197"/>
      <c r="I21" s="197"/>
      <c r="J21" s="200"/>
    </row>
    <row r="22" spans="1:11" ht="20.25" customHeight="1" x14ac:dyDescent="0.2">
      <c r="A22" s="239" t="s">
        <v>242</v>
      </c>
      <c r="B22" s="197"/>
      <c r="C22" s="197"/>
      <c r="D22" s="197"/>
      <c r="E22" s="197"/>
      <c r="F22" s="197"/>
      <c r="G22" s="197"/>
      <c r="H22" s="197"/>
      <c r="I22" s="197"/>
      <c r="J22" s="200"/>
    </row>
    <row r="23" spans="1:11" ht="30" customHeight="1" x14ac:dyDescent="0.2">
      <c r="A23" s="113">
        <v>1</v>
      </c>
      <c r="B23" s="240" t="s">
        <v>243</v>
      </c>
      <c r="C23" s="197"/>
      <c r="D23" s="197"/>
      <c r="E23" s="197"/>
      <c r="F23" s="197"/>
      <c r="G23" s="200"/>
      <c r="H23" s="240" t="s">
        <v>244</v>
      </c>
      <c r="I23" s="200"/>
      <c r="J23" s="113" t="s">
        <v>245</v>
      </c>
    </row>
    <row r="24" spans="1:11" ht="12.75" customHeight="1" x14ac:dyDescent="0.2">
      <c r="A24" s="87" t="s">
        <v>185</v>
      </c>
      <c r="B24" s="213" t="s">
        <v>522</v>
      </c>
      <c r="C24" s="197"/>
      <c r="D24" s="197"/>
      <c r="E24" s="197"/>
      <c r="F24" s="197"/>
      <c r="G24" s="197"/>
      <c r="H24" s="197"/>
      <c r="I24" s="200"/>
      <c r="J24" s="114">
        <f>ROUND(((25/6)*30)*(H18/220),2)</f>
        <v>875.29</v>
      </c>
      <c r="K24" s="163"/>
    </row>
    <row r="25" spans="1:11" ht="12.75" customHeight="1" x14ac:dyDescent="0.2">
      <c r="A25" s="115" t="s">
        <v>187</v>
      </c>
      <c r="B25" s="213" t="s">
        <v>247</v>
      </c>
      <c r="C25" s="197"/>
      <c r="D25" s="197"/>
      <c r="E25" s="197"/>
      <c r="F25" s="197"/>
      <c r="G25" s="197"/>
      <c r="H25" s="200"/>
      <c r="I25" s="116">
        <v>0</v>
      </c>
      <c r="J25" s="114">
        <f>ROUND(I25*J24,2)</f>
        <v>0</v>
      </c>
      <c r="K25" s="163"/>
    </row>
    <row r="26" spans="1:11" ht="12.75" customHeight="1" x14ac:dyDescent="0.2">
      <c r="A26" s="115" t="s">
        <v>190</v>
      </c>
      <c r="B26" s="213" t="s">
        <v>248</v>
      </c>
      <c r="C26" s="197"/>
      <c r="D26" s="197"/>
      <c r="E26" s="197"/>
      <c r="F26" s="197"/>
      <c r="G26" s="197"/>
      <c r="H26" s="197"/>
      <c r="I26" s="200"/>
      <c r="J26" s="114"/>
      <c r="K26" s="163"/>
    </row>
    <row r="27" spans="1:11" ht="12.75" customHeight="1" x14ac:dyDescent="0.2">
      <c r="A27" s="115" t="s">
        <v>192</v>
      </c>
      <c r="B27" s="213" t="s">
        <v>249</v>
      </c>
      <c r="C27" s="197"/>
      <c r="D27" s="197"/>
      <c r="E27" s="197"/>
      <c r="F27" s="197"/>
      <c r="G27" s="197"/>
      <c r="H27" s="197"/>
      <c r="I27" s="200"/>
      <c r="J27" s="114"/>
      <c r="K27" s="163"/>
    </row>
    <row r="28" spans="1:11" ht="12.75" customHeight="1" x14ac:dyDescent="0.2">
      <c r="A28" s="115" t="s">
        <v>250</v>
      </c>
      <c r="B28" s="213" t="s">
        <v>251</v>
      </c>
      <c r="C28" s="197"/>
      <c r="D28" s="197"/>
      <c r="E28" s="197"/>
      <c r="F28" s="197"/>
      <c r="G28" s="197"/>
      <c r="H28" s="197"/>
      <c r="I28" s="200"/>
      <c r="J28" s="114"/>
      <c r="K28" s="163"/>
    </row>
    <row r="29" spans="1:11" ht="12.75" customHeight="1" x14ac:dyDescent="0.2">
      <c r="A29" s="87" t="s">
        <v>187</v>
      </c>
      <c r="B29" s="213" t="s">
        <v>252</v>
      </c>
      <c r="C29" s="197"/>
      <c r="D29" s="197"/>
      <c r="E29" s="197"/>
      <c r="F29" s="197"/>
      <c r="G29" s="197"/>
      <c r="H29" s="200"/>
      <c r="I29" s="117">
        <v>0.2</v>
      </c>
      <c r="J29" s="114">
        <f>ROUND(I29*J24,2)</f>
        <v>175.06</v>
      </c>
      <c r="K29" s="163"/>
    </row>
    <row r="30" spans="1:11" ht="15.75" customHeight="1" x14ac:dyDescent="0.2">
      <c r="A30" s="243" t="s">
        <v>253</v>
      </c>
      <c r="B30" s="197"/>
      <c r="C30" s="197"/>
      <c r="D30" s="197"/>
      <c r="E30" s="197"/>
      <c r="F30" s="197"/>
      <c r="G30" s="197"/>
      <c r="H30" s="197"/>
      <c r="I30" s="200"/>
      <c r="J30" s="118">
        <f>SUM(J24:J29)</f>
        <v>1050.3499999999999</v>
      </c>
    </row>
    <row r="31" spans="1:11" ht="12.75" customHeight="1" x14ac:dyDescent="0.2">
      <c r="A31" s="225"/>
      <c r="B31" s="197"/>
      <c r="C31" s="197"/>
      <c r="D31" s="197"/>
      <c r="E31" s="197"/>
      <c r="F31" s="197"/>
      <c r="G31" s="197"/>
      <c r="H31" s="197"/>
      <c r="I31" s="197"/>
      <c r="J31" s="200"/>
    </row>
    <row r="32" spans="1:11" ht="15.75" customHeight="1" x14ac:dyDescent="0.2">
      <c r="A32" s="226" t="s">
        <v>254</v>
      </c>
      <c r="B32" s="197"/>
      <c r="C32" s="197"/>
      <c r="D32" s="197"/>
      <c r="E32" s="197"/>
      <c r="F32" s="197"/>
      <c r="G32" s="197"/>
      <c r="H32" s="197"/>
      <c r="I32" s="197"/>
      <c r="J32" s="200"/>
    </row>
    <row r="33" spans="1:10" ht="15" customHeight="1" x14ac:dyDescent="0.2">
      <c r="A33" s="227" t="s">
        <v>523</v>
      </c>
      <c r="B33" s="197"/>
      <c r="C33" s="197"/>
      <c r="D33" s="197"/>
      <c r="E33" s="197"/>
      <c r="F33" s="197"/>
      <c r="G33" s="197"/>
      <c r="H33" s="197"/>
      <c r="I33" s="197"/>
      <c r="J33" s="200"/>
    </row>
    <row r="34" spans="1:10" ht="15" customHeight="1" x14ac:dyDescent="0.2">
      <c r="A34" s="119" t="s">
        <v>256</v>
      </c>
      <c r="B34" s="228" t="s">
        <v>524</v>
      </c>
      <c r="C34" s="197"/>
      <c r="D34" s="197"/>
      <c r="E34" s="197"/>
      <c r="F34" s="197"/>
      <c r="G34" s="197"/>
      <c r="H34" s="197"/>
      <c r="I34" s="200"/>
      <c r="J34" s="120" t="s">
        <v>258</v>
      </c>
    </row>
    <row r="35" spans="1:10" ht="27" customHeight="1" x14ac:dyDescent="0.2">
      <c r="A35" s="121" t="s">
        <v>185</v>
      </c>
      <c r="B35" s="213" t="s">
        <v>525</v>
      </c>
      <c r="C35" s="197"/>
      <c r="D35" s="197"/>
      <c r="E35" s="197"/>
      <c r="F35" s="197"/>
      <c r="G35" s="197"/>
      <c r="H35" s="200"/>
      <c r="I35" s="122">
        <v>8.3299999999999999E-2</v>
      </c>
      <c r="J35" s="123">
        <f t="shared" ref="J35:J36" si="0">ROUND($J$30*I35,2)</f>
        <v>87.49</v>
      </c>
    </row>
    <row r="36" spans="1:10" ht="36" customHeight="1" x14ac:dyDescent="0.2">
      <c r="A36" s="121" t="s">
        <v>187</v>
      </c>
      <c r="B36" s="229" t="s">
        <v>526</v>
      </c>
      <c r="C36" s="197"/>
      <c r="D36" s="197"/>
      <c r="E36" s="197"/>
      <c r="F36" s="197"/>
      <c r="G36" s="197"/>
      <c r="H36" s="200"/>
      <c r="I36" s="124">
        <v>3.0249999999999999E-2</v>
      </c>
      <c r="J36" s="123">
        <f t="shared" si="0"/>
        <v>31.77</v>
      </c>
    </row>
    <row r="37" spans="1:10" ht="12.75" customHeight="1" x14ac:dyDescent="0.2">
      <c r="A37" s="230" t="s">
        <v>261</v>
      </c>
      <c r="B37" s="197"/>
      <c r="C37" s="197"/>
      <c r="D37" s="197"/>
      <c r="E37" s="197"/>
      <c r="F37" s="197"/>
      <c r="G37" s="197"/>
      <c r="H37" s="197"/>
      <c r="I37" s="200"/>
      <c r="J37" s="123">
        <f>SUM(J35+J36)</f>
        <v>119.25999999999999</v>
      </c>
    </row>
    <row r="38" spans="1:10" ht="12.75" customHeight="1" x14ac:dyDescent="0.2">
      <c r="A38" s="125" t="s">
        <v>190</v>
      </c>
      <c r="B38" s="231" t="s">
        <v>262</v>
      </c>
      <c r="C38" s="197"/>
      <c r="D38" s="197"/>
      <c r="E38" s="197"/>
      <c r="F38" s="197"/>
      <c r="G38" s="197"/>
      <c r="H38" s="197"/>
      <c r="I38" s="200"/>
      <c r="J38" s="126">
        <f>ROUND(I51*J37,2)</f>
        <v>43.89</v>
      </c>
    </row>
    <row r="39" spans="1:10" ht="12.75" customHeight="1" x14ac:dyDescent="0.2">
      <c r="A39" s="232" t="s">
        <v>261</v>
      </c>
      <c r="B39" s="197"/>
      <c r="C39" s="197"/>
      <c r="D39" s="197"/>
      <c r="E39" s="197"/>
      <c r="F39" s="197"/>
      <c r="G39" s="197"/>
      <c r="H39" s="197"/>
      <c r="I39" s="200"/>
      <c r="J39" s="127">
        <f>J37+J38</f>
        <v>163.14999999999998</v>
      </c>
    </row>
    <row r="40" spans="1:10" ht="12.75" customHeight="1" x14ac:dyDescent="0.2">
      <c r="A40" s="225"/>
      <c r="B40" s="197"/>
      <c r="C40" s="197"/>
      <c r="D40" s="197"/>
      <c r="E40" s="197"/>
      <c r="F40" s="197"/>
      <c r="G40" s="197"/>
      <c r="H40" s="197"/>
      <c r="I40" s="197"/>
      <c r="J40" s="200"/>
    </row>
    <row r="41" spans="1:10" ht="30" customHeight="1" x14ac:dyDescent="0.2">
      <c r="A41" s="226" t="s">
        <v>263</v>
      </c>
      <c r="B41" s="197"/>
      <c r="C41" s="197"/>
      <c r="D41" s="197"/>
      <c r="E41" s="197"/>
      <c r="F41" s="197"/>
      <c r="G41" s="197"/>
      <c r="H41" s="197"/>
      <c r="I41" s="197"/>
      <c r="J41" s="200"/>
    </row>
    <row r="42" spans="1:10" ht="30" customHeight="1" x14ac:dyDescent="0.2">
      <c r="A42" s="128" t="s">
        <v>264</v>
      </c>
      <c r="B42" s="233" t="s">
        <v>265</v>
      </c>
      <c r="C42" s="197"/>
      <c r="D42" s="197"/>
      <c r="E42" s="197"/>
      <c r="F42" s="197"/>
      <c r="G42" s="197"/>
      <c r="H42" s="200"/>
      <c r="I42" s="113" t="s">
        <v>266</v>
      </c>
      <c r="J42" s="113" t="s">
        <v>267</v>
      </c>
    </row>
    <row r="43" spans="1:10" ht="12.75" customHeight="1" x14ac:dyDescent="0.2">
      <c r="A43" s="121" t="s">
        <v>185</v>
      </c>
      <c r="B43" s="231" t="s">
        <v>268</v>
      </c>
      <c r="C43" s="197"/>
      <c r="D43" s="197"/>
      <c r="E43" s="197"/>
      <c r="F43" s="197"/>
      <c r="G43" s="197"/>
      <c r="H43" s="200"/>
      <c r="I43" s="129">
        <v>0.2</v>
      </c>
      <c r="J43" s="130">
        <f t="shared" ref="J43:J50" si="1">ROUND($J$30*I43,2)</f>
        <v>210.07</v>
      </c>
    </row>
    <row r="44" spans="1:10" ht="12.75" customHeight="1" x14ac:dyDescent="0.2">
      <c r="A44" s="121" t="s">
        <v>187</v>
      </c>
      <c r="B44" s="231" t="s">
        <v>269</v>
      </c>
      <c r="C44" s="197"/>
      <c r="D44" s="197"/>
      <c r="E44" s="197"/>
      <c r="F44" s="197"/>
      <c r="G44" s="197"/>
      <c r="H44" s="200"/>
      <c r="I44" s="129">
        <v>2.5000000000000001E-2</v>
      </c>
      <c r="J44" s="130">
        <f t="shared" si="1"/>
        <v>26.26</v>
      </c>
    </row>
    <row r="45" spans="1:10" ht="12.75" customHeight="1" x14ac:dyDescent="0.2">
      <c r="A45" s="121" t="s">
        <v>190</v>
      </c>
      <c r="B45" s="231" t="s">
        <v>270</v>
      </c>
      <c r="C45" s="197"/>
      <c r="D45" s="200"/>
      <c r="E45" s="131" t="s">
        <v>271</v>
      </c>
      <c r="F45" s="132">
        <v>0.03</v>
      </c>
      <c r="G45" s="131" t="s">
        <v>272</v>
      </c>
      <c r="H45" s="133">
        <v>1</v>
      </c>
      <c r="I45" s="134">
        <f>ROUND((F45*H45),6)</f>
        <v>0.03</v>
      </c>
      <c r="J45" s="130">
        <f t="shared" si="1"/>
        <v>31.51</v>
      </c>
    </row>
    <row r="46" spans="1:10" ht="12.75" customHeight="1" x14ac:dyDescent="0.2">
      <c r="A46" s="121" t="s">
        <v>192</v>
      </c>
      <c r="B46" s="231" t="s">
        <v>273</v>
      </c>
      <c r="C46" s="197"/>
      <c r="D46" s="197"/>
      <c r="E46" s="197"/>
      <c r="F46" s="197"/>
      <c r="G46" s="197"/>
      <c r="H46" s="200"/>
      <c r="I46" s="129">
        <v>1.4999999999999999E-2</v>
      </c>
      <c r="J46" s="130">
        <f t="shared" si="1"/>
        <v>15.76</v>
      </c>
    </row>
    <row r="47" spans="1:10" ht="12.75" customHeight="1" x14ac:dyDescent="0.2">
      <c r="A47" s="121" t="s">
        <v>250</v>
      </c>
      <c r="B47" s="231" t="s">
        <v>274</v>
      </c>
      <c r="C47" s="197"/>
      <c r="D47" s="197"/>
      <c r="E47" s="197"/>
      <c r="F47" s="197"/>
      <c r="G47" s="197"/>
      <c r="H47" s="200"/>
      <c r="I47" s="129">
        <v>0.01</v>
      </c>
      <c r="J47" s="130">
        <f t="shared" si="1"/>
        <v>10.5</v>
      </c>
    </row>
    <row r="48" spans="1:10" ht="12.75" customHeight="1" x14ac:dyDescent="0.2">
      <c r="A48" s="121" t="s">
        <v>275</v>
      </c>
      <c r="B48" s="231" t="s">
        <v>276</v>
      </c>
      <c r="C48" s="197"/>
      <c r="D48" s="197"/>
      <c r="E48" s="197"/>
      <c r="F48" s="197"/>
      <c r="G48" s="197"/>
      <c r="H48" s="200"/>
      <c r="I48" s="129">
        <v>6.0000000000000001E-3</v>
      </c>
      <c r="J48" s="130">
        <f t="shared" si="1"/>
        <v>6.3</v>
      </c>
    </row>
    <row r="49" spans="1:11" ht="12.75" customHeight="1" x14ac:dyDescent="0.2">
      <c r="A49" s="121" t="s">
        <v>277</v>
      </c>
      <c r="B49" s="231" t="s">
        <v>278</v>
      </c>
      <c r="C49" s="197"/>
      <c r="D49" s="197"/>
      <c r="E49" s="197"/>
      <c r="F49" s="197"/>
      <c r="G49" s="197"/>
      <c r="H49" s="200"/>
      <c r="I49" s="129">
        <v>2E-3</v>
      </c>
      <c r="J49" s="130">
        <f t="shared" si="1"/>
        <v>2.1</v>
      </c>
    </row>
    <row r="50" spans="1:11" ht="12.75" customHeight="1" x14ac:dyDescent="0.2">
      <c r="A50" s="121" t="s">
        <v>279</v>
      </c>
      <c r="B50" s="231" t="s">
        <v>280</v>
      </c>
      <c r="C50" s="197"/>
      <c r="D50" s="197"/>
      <c r="E50" s="197"/>
      <c r="F50" s="197"/>
      <c r="G50" s="197"/>
      <c r="H50" s="200"/>
      <c r="I50" s="129">
        <v>0.08</v>
      </c>
      <c r="J50" s="130">
        <f t="shared" si="1"/>
        <v>84.03</v>
      </c>
    </row>
    <row r="51" spans="1:11" ht="12.75" customHeight="1" x14ac:dyDescent="0.2">
      <c r="A51" s="232" t="s">
        <v>261</v>
      </c>
      <c r="B51" s="197"/>
      <c r="C51" s="197"/>
      <c r="D51" s="197"/>
      <c r="E51" s="197"/>
      <c r="F51" s="197"/>
      <c r="G51" s="197"/>
      <c r="H51" s="200"/>
      <c r="I51" s="135">
        <f t="shared" ref="I51:J51" si="2">SUM(I43:I50)</f>
        <v>0.36800000000000005</v>
      </c>
      <c r="J51" s="127">
        <f t="shared" si="2"/>
        <v>386.53</v>
      </c>
    </row>
    <row r="52" spans="1:11" ht="12.75" customHeight="1" x14ac:dyDescent="0.2">
      <c r="A52" s="225"/>
      <c r="B52" s="197"/>
      <c r="C52" s="197"/>
      <c r="D52" s="197"/>
      <c r="E52" s="197"/>
      <c r="F52" s="197"/>
      <c r="G52" s="197"/>
      <c r="H52" s="197"/>
      <c r="I52" s="197"/>
      <c r="J52" s="200"/>
    </row>
    <row r="53" spans="1:11" ht="15.75" customHeight="1" x14ac:dyDescent="0.2">
      <c r="A53" s="226" t="s">
        <v>281</v>
      </c>
      <c r="B53" s="197"/>
      <c r="C53" s="197"/>
      <c r="D53" s="197"/>
      <c r="E53" s="197"/>
      <c r="F53" s="197"/>
      <c r="G53" s="197"/>
      <c r="H53" s="197"/>
      <c r="I53" s="197"/>
      <c r="J53" s="200"/>
    </row>
    <row r="54" spans="1:11" ht="15.75" customHeight="1" x14ac:dyDescent="0.2">
      <c r="A54" s="128" t="s">
        <v>282</v>
      </c>
      <c r="B54" s="233" t="s">
        <v>283</v>
      </c>
      <c r="C54" s="197"/>
      <c r="D54" s="197"/>
      <c r="E54" s="197"/>
      <c r="F54" s="197"/>
      <c r="G54" s="197"/>
      <c r="H54" s="197"/>
      <c r="I54" s="200"/>
      <c r="J54" s="113" t="s">
        <v>258</v>
      </c>
    </row>
    <row r="55" spans="1:11" ht="12.75" customHeight="1" x14ac:dyDescent="0.2">
      <c r="A55" s="121" t="s">
        <v>185</v>
      </c>
      <c r="B55" s="231" t="s">
        <v>527</v>
      </c>
      <c r="C55" s="197"/>
      <c r="D55" s="197"/>
      <c r="E55" s="197"/>
      <c r="F55" s="197"/>
      <c r="G55" s="197"/>
      <c r="H55" s="197"/>
      <c r="I55" s="200"/>
      <c r="J55" s="130">
        <f>IF(ROUND((I58*I56*I57)-(J24*I59),2)&lt;0,0,ROUND((I58*I56*I57)-(J24*I59),2))</f>
        <v>123.48</v>
      </c>
    </row>
    <row r="56" spans="1:11" ht="12.75" customHeight="1" x14ac:dyDescent="0.2">
      <c r="A56" s="121"/>
      <c r="B56" s="244" t="s">
        <v>285</v>
      </c>
      <c r="C56" s="197"/>
      <c r="D56" s="197"/>
      <c r="E56" s="197"/>
      <c r="F56" s="197"/>
      <c r="G56" s="197"/>
      <c r="H56" s="200"/>
      <c r="I56" s="136">
        <v>4</v>
      </c>
      <c r="J56" s="137" t="s">
        <v>286</v>
      </c>
    </row>
    <row r="57" spans="1:11" ht="12.75" customHeight="1" x14ac:dyDescent="0.2">
      <c r="A57" s="121"/>
      <c r="B57" s="244" t="s">
        <v>287</v>
      </c>
      <c r="C57" s="197"/>
      <c r="D57" s="197"/>
      <c r="E57" s="197"/>
      <c r="F57" s="197"/>
      <c r="G57" s="197"/>
      <c r="H57" s="200"/>
      <c r="I57" s="138">
        <v>2</v>
      </c>
      <c r="J57" s="137"/>
    </row>
    <row r="58" spans="1:11" ht="12.75" customHeight="1" x14ac:dyDescent="0.2">
      <c r="A58" s="121"/>
      <c r="B58" s="244" t="s">
        <v>288</v>
      </c>
      <c r="C58" s="197"/>
      <c r="D58" s="197"/>
      <c r="E58" s="197"/>
      <c r="F58" s="197"/>
      <c r="G58" s="197"/>
      <c r="H58" s="200"/>
      <c r="I58" s="139">
        <v>22</v>
      </c>
      <c r="J58" s="137"/>
    </row>
    <row r="59" spans="1:11" ht="12.75" customHeight="1" x14ac:dyDescent="0.2">
      <c r="A59" s="121"/>
      <c r="B59" s="244" t="s">
        <v>380</v>
      </c>
      <c r="C59" s="197"/>
      <c r="D59" s="197"/>
      <c r="E59" s="197"/>
      <c r="F59" s="197"/>
      <c r="G59" s="197"/>
      <c r="H59" s="200"/>
      <c r="I59" s="140">
        <v>0.06</v>
      </c>
      <c r="J59" s="137"/>
    </row>
    <row r="60" spans="1:11" ht="12.75" customHeight="1" x14ac:dyDescent="0.2">
      <c r="A60" s="121" t="s">
        <v>187</v>
      </c>
      <c r="B60" s="231" t="s">
        <v>528</v>
      </c>
      <c r="C60" s="197"/>
      <c r="D60" s="197"/>
      <c r="E60" s="197"/>
      <c r="F60" s="197"/>
      <c r="G60" s="197"/>
      <c r="H60" s="197"/>
      <c r="I60" s="200"/>
      <c r="J60" s="130">
        <f>ROUND(I62*I61*(1-I63),2)</f>
        <v>210.99</v>
      </c>
      <c r="K60" s="163"/>
    </row>
    <row r="61" spans="1:11" ht="12.75" customHeight="1" x14ac:dyDescent="0.2">
      <c r="A61" s="121"/>
      <c r="B61" s="244" t="s">
        <v>382</v>
      </c>
      <c r="C61" s="197"/>
      <c r="D61" s="197"/>
      <c r="E61" s="197"/>
      <c r="F61" s="197"/>
      <c r="G61" s="197"/>
      <c r="H61" s="200"/>
      <c r="I61" s="136">
        <v>11.84</v>
      </c>
      <c r="J61" s="137" t="s">
        <v>286</v>
      </c>
    </row>
    <row r="62" spans="1:11" ht="12.75" customHeight="1" x14ac:dyDescent="0.2">
      <c r="A62" s="141"/>
      <c r="B62" s="244" t="s">
        <v>383</v>
      </c>
      <c r="C62" s="197"/>
      <c r="D62" s="197"/>
      <c r="E62" s="197"/>
      <c r="F62" s="197"/>
      <c r="G62" s="197"/>
      <c r="H62" s="200"/>
      <c r="I62" s="139">
        <v>22</v>
      </c>
      <c r="J62" s="137"/>
    </row>
    <row r="63" spans="1:11" ht="12.75" customHeight="1" x14ac:dyDescent="0.2">
      <c r="A63" s="141"/>
      <c r="B63" s="244" t="s">
        <v>383</v>
      </c>
      <c r="C63" s="197"/>
      <c r="D63" s="197"/>
      <c r="E63" s="197"/>
      <c r="F63" s="197"/>
      <c r="G63" s="197"/>
      <c r="H63" s="200"/>
      <c r="I63" s="142">
        <v>0.19</v>
      </c>
      <c r="J63" s="137"/>
    </row>
    <row r="64" spans="1:11" ht="12.75" customHeight="1" x14ac:dyDescent="0.2">
      <c r="A64" s="121" t="s">
        <v>190</v>
      </c>
      <c r="B64" s="213" t="s">
        <v>293</v>
      </c>
      <c r="C64" s="197"/>
      <c r="D64" s="197"/>
      <c r="E64" s="197"/>
      <c r="F64" s="197"/>
      <c r="G64" s="197"/>
      <c r="H64" s="197"/>
      <c r="I64" s="200"/>
      <c r="J64" s="130">
        <v>0</v>
      </c>
    </row>
    <row r="65" spans="1:10" ht="12.75" customHeight="1" x14ac:dyDescent="0.2">
      <c r="A65" s="167" t="s">
        <v>192</v>
      </c>
      <c r="B65" s="267" t="s">
        <v>529</v>
      </c>
      <c r="C65" s="197"/>
      <c r="D65" s="197"/>
      <c r="E65" s="197"/>
      <c r="F65" s="197"/>
      <c r="G65" s="197"/>
      <c r="H65" s="197"/>
      <c r="I65" s="200"/>
      <c r="J65" s="169">
        <v>19.420000000000002</v>
      </c>
    </row>
    <row r="66" spans="1:10" ht="12.75" customHeight="1" x14ac:dyDescent="0.2">
      <c r="A66" s="232" t="s">
        <v>253</v>
      </c>
      <c r="B66" s="197"/>
      <c r="C66" s="197"/>
      <c r="D66" s="197"/>
      <c r="E66" s="197"/>
      <c r="F66" s="197"/>
      <c r="G66" s="197"/>
      <c r="H66" s="197"/>
      <c r="I66" s="200"/>
      <c r="J66" s="127">
        <f>SUM(J55:J65)</f>
        <v>353.89000000000004</v>
      </c>
    </row>
    <row r="67" spans="1:10" ht="12.75" customHeight="1" x14ac:dyDescent="0.2">
      <c r="A67" s="225"/>
      <c r="B67" s="197"/>
      <c r="C67" s="197"/>
      <c r="D67" s="197"/>
      <c r="E67" s="197"/>
      <c r="F67" s="197"/>
      <c r="G67" s="197"/>
      <c r="H67" s="197"/>
      <c r="I67" s="197"/>
      <c r="J67" s="200"/>
    </row>
    <row r="68" spans="1:10" ht="15.75" customHeight="1" x14ac:dyDescent="0.2">
      <c r="A68" s="226" t="s">
        <v>294</v>
      </c>
      <c r="B68" s="197"/>
      <c r="C68" s="197"/>
      <c r="D68" s="197"/>
      <c r="E68" s="197"/>
      <c r="F68" s="197"/>
      <c r="G68" s="197"/>
      <c r="H68" s="197"/>
      <c r="I68" s="197"/>
      <c r="J68" s="200"/>
    </row>
    <row r="69" spans="1:10" ht="15.75" customHeight="1" x14ac:dyDescent="0.2">
      <c r="A69" s="113">
        <v>2</v>
      </c>
      <c r="B69" s="240" t="s">
        <v>295</v>
      </c>
      <c r="C69" s="197"/>
      <c r="D69" s="197"/>
      <c r="E69" s="197"/>
      <c r="F69" s="197"/>
      <c r="G69" s="197"/>
      <c r="H69" s="197"/>
      <c r="I69" s="200"/>
      <c r="J69" s="113" t="s">
        <v>258</v>
      </c>
    </row>
    <row r="70" spans="1:10" ht="14.25" customHeight="1" x14ac:dyDescent="0.2">
      <c r="A70" s="87" t="s">
        <v>256</v>
      </c>
      <c r="B70" s="87"/>
      <c r="C70" s="213" t="s">
        <v>530</v>
      </c>
      <c r="D70" s="197"/>
      <c r="E70" s="197"/>
      <c r="F70" s="197"/>
      <c r="G70" s="197"/>
      <c r="H70" s="197"/>
      <c r="I70" s="200"/>
      <c r="J70" s="143">
        <f>J39</f>
        <v>163.14999999999998</v>
      </c>
    </row>
    <row r="71" spans="1:10" ht="14.25" customHeight="1" x14ac:dyDescent="0.2">
      <c r="A71" s="87" t="s">
        <v>264</v>
      </c>
      <c r="B71" s="87"/>
      <c r="C71" s="213" t="s">
        <v>265</v>
      </c>
      <c r="D71" s="197"/>
      <c r="E71" s="197"/>
      <c r="F71" s="197"/>
      <c r="G71" s="197"/>
      <c r="H71" s="197"/>
      <c r="I71" s="200"/>
      <c r="J71" s="143">
        <f>J51</f>
        <v>386.53</v>
      </c>
    </row>
    <row r="72" spans="1:10" ht="14.25" customHeight="1" x14ac:dyDescent="0.2">
      <c r="A72" s="87" t="s">
        <v>282</v>
      </c>
      <c r="B72" s="87"/>
      <c r="C72" s="213" t="s">
        <v>283</v>
      </c>
      <c r="D72" s="197"/>
      <c r="E72" s="197"/>
      <c r="F72" s="197"/>
      <c r="G72" s="197"/>
      <c r="H72" s="197"/>
      <c r="I72" s="200"/>
      <c r="J72" s="143">
        <f>J66</f>
        <v>353.89000000000004</v>
      </c>
    </row>
    <row r="73" spans="1:10" ht="14.25" customHeight="1" x14ac:dyDescent="0.2">
      <c r="A73" s="243" t="s">
        <v>261</v>
      </c>
      <c r="B73" s="197"/>
      <c r="C73" s="197"/>
      <c r="D73" s="197"/>
      <c r="E73" s="197"/>
      <c r="F73" s="197"/>
      <c r="G73" s="197"/>
      <c r="H73" s="197"/>
      <c r="I73" s="200"/>
      <c r="J73" s="144">
        <f>SUM(J70+J71+J72)</f>
        <v>903.56999999999994</v>
      </c>
    </row>
    <row r="74" spans="1:10" ht="12.75" customHeight="1" x14ac:dyDescent="0.2">
      <c r="A74" s="225"/>
      <c r="B74" s="197"/>
      <c r="C74" s="197"/>
      <c r="D74" s="197"/>
      <c r="E74" s="197"/>
      <c r="F74" s="197"/>
      <c r="G74" s="197"/>
      <c r="H74" s="197"/>
      <c r="I74" s="197"/>
      <c r="J74" s="200"/>
    </row>
    <row r="75" spans="1:10" ht="15.75" customHeight="1" x14ac:dyDescent="0.2">
      <c r="A75" s="226" t="s">
        <v>297</v>
      </c>
      <c r="B75" s="197"/>
      <c r="C75" s="197"/>
      <c r="D75" s="197"/>
      <c r="E75" s="197"/>
      <c r="F75" s="197"/>
      <c r="G75" s="197"/>
      <c r="H75" s="197"/>
      <c r="I75" s="197"/>
      <c r="J75" s="200"/>
    </row>
    <row r="76" spans="1:10" ht="15.75" customHeight="1" x14ac:dyDescent="0.2">
      <c r="A76" s="128">
        <v>3</v>
      </c>
      <c r="B76" s="240" t="s">
        <v>298</v>
      </c>
      <c r="C76" s="197"/>
      <c r="D76" s="197"/>
      <c r="E76" s="197"/>
      <c r="F76" s="197"/>
      <c r="G76" s="197"/>
      <c r="H76" s="197"/>
      <c r="I76" s="200"/>
      <c r="J76" s="128" t="s">
        <v>299</v>
      </c>
    </row>
    <row r="77" spans="1:10" ht="46.5" customHeight="1" x14ac:dyDescent="0.2">
      <c r="A77" s="121" t="s">
        <v>185</v>
      </c>
      <c r="B77" s="213" t="s">
        <v>531</v>
      </c>
      <c r="C77" s="197"/>
      <c r="D77" s="197"/>
      <c r="E77" s="197"/>
      <c r="F77" s="197"/>
      <c r="G77" s="197"/>
      <c r="H77" s="197"/>
      <c r="I77" s="200"/>
      <c r="J77" s="130">
        <f>ROUND((($J$30/12)+($J$35/12)+($J$30*0.121/12))*(30/30)*0.05,2)</f>
        <v>5.27</v>
      </c>
    </row>
    <row r="78" spans="1:10" ht="14.25" customHeight="1" x14ac:dyDescent="0.2">
      <c r="A78" s="121" t="s">
        <v>187</v>
      </c>
      <c r="B78" s="213" t="s">
        <v>301</v>
      </c>
      <c r="C78" s="197"/>
      <c r="D78" s="197"/>
      <c r="E78" s="197"/>
      <c r="F78" s="197"/>
      <c r="G78" s="197"/>
      <c r="H78" s="197"/>
      <c r="I78" s="200"/>
      <c r="J78" s="130">
        <f>ROUND($J$77*I50,2)</f>
        <v>0.42</v>
      </c>
    </row>
    <row r="79" spans="1:10" ht="27" customHeight="1" x14ac:dyDescent="0.2">
      <c r="A79" s="121" t="s">
        <v>190</v>
      </c>
      <c r="B79" s="213" t="s">
        <v>532</v>
      </c>
      <c r="C79" s="197"/>
      <c r="D79" s="197"/>
      <c r="E79" s="197"/>
      <c r="F79" s="197"/>
      <c r="G79" s="197"/>
      <c r="H79" s="197"/>
      <c r="I79" s="200"/>
      <c r="J79" s="130">
        <f>ROUND(((($J$30/30)*7)/$H$11)*1,2)</f>
        <v>4.08</v>
      </c>
    </row>
    <row r="80" spans="1:10" ht="14.25" customHeight="1" x14ac:dyDescent="0.2">
      <c r="A80" s="121" t="s">
        <v>192</v>
      </c>
      <c r="B80" s="213" t="s">
        <v>303</v>
      </c>
      <c r="C80" s="197"/>
      <c r="D80" s="197"/>
      <c r="E80" s="197"/>
      <c r="F80" s="197"/>
      <c r="G80" s="197"/>
      <c r="H80" s="197"/>
      <c r="I80" s="200"/>
      <c r="J80" s="130">
        <f>ROUND($I$51*J79,2)</f>
        <v>1.5</v>
      </c>
    </row>
    <row r="81" spans="1:10" ht="36" customHeight="1" x14ac:dyDescent="0.2">
      <c r="A81" s="121" t="s">
        <v>250</v>
      </c>
      <c r="B81" s="213" t="s">
        <v>533</v>
      </c>
      <c r="C81" s="197"/>
      <c r="D81" s="197"/>
      <c r="E81" s="197"/>
      <c r="F81" s="197"/>
      <c r="G81" s="197"/>
      <c r="H81" s="200"/>
      <c r="I81" s="145">
        <v>0.04</v>
      </c>
      <c r="J81" s="130">
        <f>ROUND($J$30*I81,2)</f>
        <v>42.01</v>
      </c>
    </row>
    <row r="82" spans="1:10" ht="12.75" customHeight="1" x14ac:dyDescent="0.2">
      <c r="A82" s="232" t="s">
        <v>261</v>
      </c>
      <c r="B82" s="197"/>
      <c r="C82" s="197"/>
      <c r="D82" s="197"/>
      <c r="E82" s="197"/>
      <c r="F82" s="197"/>
      <c r="G82" s="197"/>
      <c r="H82" s="197"/>
      <c r="I82" s="200"/>
      <c r="J82" s="127">
        <f>SUM(J77:J81)</f>
        <v>53.28</v>
      </c>
    </row>
    <row r="83" spans="1:10" ht="12.75" customHeight="1" x14ac:dyDescent="0.2">
      <c r="A83" s="225"/>
      <c r="B83" s="197"/>
      <c r="C83" s="197"/>
      <c r="D83" s="197"/>
      <c r="E83" s="197"/>
      <c r="F83" s="197"/>
      <c r="G83" s="197"/>
      <c r="H83" s="197"/>
      <c r="I83" s="197"/>
      <c r="J83" s="200"/>
    </row>
    <row r="84" spans="1:10" ht="15.75" customHeight="1" x14ac:dyDescent="0.2">
      <c r="A84" s="226" t="s">
        <v>305</v>
      </c>
      <c r="B84" s="197"/>
      <c r="C84" s="197"/>
      <c r="D84" s="197"/>
      <c r="E84" s="197"/>
      <c r="F84" s="197"/>
      <c r="G84" s="197"/>
      <c r="H84" s="197"/>
      <c r="I84" s="197"/>
      <c r="J84" s="200"/>
    </row>
    <row r="85" spans="1:10" ht="15" customHeight="1" x14ac:dyDescent="0.2">
      <c r="A85" s="245" t="s">
        <v>306</v>
      </c>
      <c r="B85" s="197"/>
      <c r="C85" s="197"/>
      <c r="D85" s="197"/>
      <c r="E85" s="197"/>
      <c r="F85" s="197"/>
      <c r="G85" s="197"/>
      <c r="H85" s="197"/>
      <c r="I85" s="200"/>
      <c r="J85" s="146">
        <f>J88+J30+J35+J36</f>
        <v>1264.9299999999998</v>
      </c>
    </row>
    <row r="86" spans="1:10" ht="14.25" customHeight="1" x14ac:dyDescent="0.2">
      <c r="A86" s="246"/>
      <c r="B86" s="197"/>
      <c r="C86" s="197"/>
      <c r="D86" s="197"/>
      <c r="E86" s="197"/>
      <c r="F86" s="197"/>
      <c r="G86" s="197"/>
      <c r="H86" s="197"/>
      <c r="I86" s="197"/>
      <c r="J86" s="200"/>
    </row>
    <row r="87" spans="1:10" ht="15" customHeight="1" x14ac:dyDescent="0.25">
      <c r="A87" s="147" t="s">
        <v>307</v>
      </c>
      <c r="B87" s="233" t="s">
        <v>308</v>
      </c>
      <c r="C87" s="197"/>
      <c r="D87" s="197"/>
      <c r="E87" s="197"/>
      <c r="F87" s="197"/>
      <c r="G87" s="197"/>
      <c r="H87" s="197"/>
      <c r="I87" s="200"/>
      <c r="J87" s="147" t="s">
        <v>258</v>
      </c>
    </row>
    <row r="88" spans="1:10" ht="12.75" customHeight="1" x14ac:dyDescent="0.2">
      <c r="A88" s="125" t="s">
        <v>185</v>
      </c>
      <c r="B88" s="213" t="s">
        <v>309</v>
      </c>
      <c r="C88" s="197"/>
      <c r="D88" s="197"/>
      <c r="E88" s="197"/>
      <c r="F88" s="197"/>
      <c r="G88" s="197"/>
      <c r="H88" s="200"/>
      <c r="I88" s="124">
        <v>9.0749999999999997E-2</v>
      </c>
      <c r="J88" s="130">
        <f>ROUND(($J$30*I88),2)</f>
        <v>95.32</v>
      </c>
    </row>
    <row r="89" spans="1:10" ht="12.75" customHeight="1" x14ac:dyDescent="0.2">
      <c r="A89" s="125" t="s">
        <v>187</v>
      </c>
      <c r="B89" s="231" t="s">
        <v>534</v>
      </c>
      <c r="C89" s="197"/>
      <c r="D89" s="197"/>
      <c r="E89" s="197"/>
      <c r="F89" s="197"/>
      <c r="G89" s="197"/>
      <c r="H89" s="197"/>
      <c r="I89" s="200"/>
      <c r="J89" s="148">
        <f>ROUND((($J$85/30)*2.96)/12,2)</f>
        <v>10.4</v>
      </c>
    </row>
    <row r="90" spans="1:10" ht="12.75" customHeight="1" x14ac:dyDescent="0.2">
      <c r="A90" s="125" t="s">
        <v>190</v>
      </c>
      <c r="B90" s="231" t="s">
        <v>535</v>
      </c>
      <c r="C90" s="197"/>
      <c r="D90" s="197"/>
      <c r="E90" s="197"/>
      <c r="F90" s="197"/>
      <c r="G90" s="197"/>
      <c r="H90" s="197"/>
      <c r="I90" s="200"/>
      <c r="J90" s="148">
        <f>ROUND((($J$85/30)*5)/12*0.015,2)</f>
        <v>0.26</v>
      </c>
    </row>
    <row r="91" spans="1:10" ht="12.75" customHeight="1" x14ac:dyDescent="0.2">
      <c r="A91" s="125" t="s">
        <v>192</v>
      </c>
      <c r="B91" s="231" t="s">
        <v>536</v>
      </c>
      <c r="C91" s="197"/>
      <c r="D91" s="197"/>
      <c r="E91" s="197"/>
      <c r="F91" s="197"/>
      <c r="G91" s="197"/>
      <c r="H91" s="197"/>
      <c r="I91" s="200"/>
      <c r="J91" s="126">
        <f>ROUND(((($J$85/30)*0.97)/12),2)</f>
        <v>3.41</v>
      </c>
    </row>
    <row r="92" spans="1:10" ht="12.75" customHeight="1" x14ac:dyDescent="0.2">
      <c r="A92" s="125" t="s">
        <v>250</v>
      </c>
      <c r="B92" s="213" t="s">
        <v>537</v>
      </c>
      <c r="C92" s="197"/>
      <c r="D92" s="197"/>
      <c r="E92" s="197"/>
      <c r="F92" s="197"/>
      <c r="G92" s="197"/>
      <c r="H92" s="197"/>
      <c r="I92" s="200"/>
      <c r="J92" s="130">
        <f>ROUND(((((J30*0.121)+(I51)*(J30*0.121))*(4/12)))*0.02,2)+ROUND(((I50*J30+I51*J35+J66-J55-J60+J82)*4/12)*0.02,2)</f>
        <v>2.42</v>
      </c>
    </row>
    <row r="93" spans="1:10" ht="12.75" customHeight="1" x14ac:dyDescent="0.2">
      <c r="A93" s="149" t="s">
        <v>275</v>
      </c>
      <c r="B93" s="247" t="s">
        <v>538</v>
      </c>
      <c r="C93" s="197"/>
      <c r="D93" s="197"/>
      <c r="E93" s="197"/>
      <c r="F93" s="197"/>
      <c r="G93" s="197"/>
      <c r="H93" s="197"/>
      <c r="I93" s="200"/>
      <c r="J93" s="126">
        <f>ROUND(((($J$85/30)*3)/12),2)</f>
        <v>10.54</v>
      </c>
    </row>
    <row r="94" spans="1:10" ht="12.75" customHeight="1" x14ac:dyDescent="0.2">
      <c r="A94" s="232" t="s">
        <v>261</v>
      </c>
      <c r="B94" s="197"/>
      <c r="C94" s="197"/>
      <c r="D94" s="197"/>
      <c r="E94" s="197"/>
      <c r="F94" s="197"/>
      <c r="G94" s="197"/>
      <c r="H94" s="197"/>
      <c r="I94" s="200"/>
      <c r="J94" s="150">
        <f>SUM(J88:J93)</f>
        <v>122.35</v>
      </c>
    </row>
    <row r="95" spans="1:10" ht="14.25" customHeight="1" x14ac:dyDescent="0.2">
      <c r="A95" s="125" t="s">
        <v>277</v>
      </c>
      <c r="B95" s="231" t="s">
        <v>315</v>
      </c>
      <c r="C95" s="197"/>
      <c r="D95" s="197"/>
      <c r="E95" s="197"/>
      <c r="F95" s="197"/>
      <c r="G95" s="197"/>
      <c r="H95" s="197"/>
      <c r="I95" s="200"/>
      <c r="J95" s="126">
        <f>ROUND(I51*J94,2)</f>
        <v>45.02</v>
      </c>
    </row>
    <row r="96" spans="1:10" ht="12.75" customHeight="1" x14ac:dyDescent="0.2">
      <c r="A96" s="232" t="s">
        <v>261</v>
      </c>
      <c r="B96" s="197"/>
      <c r="C96" s="197"/>
      <c r="D96" s="197"/>
      <c r="E96" s="197"/>
      <c r="F96" s="197"/>
      <c r="G96" s="197"/>
      <c r="H96" s="197"/>
      <c r="I96" s="200"/>
      <c r="J96" s="127">
        <f>SUM(J94:J95)</f>
        <v>167.37</v>
      </c>
    </row>
    <row r="97" spans="1:10" ht="15.75" customHeight="1" x14ac:dyDescent="0.2">
      <c r="A97" s="226" t="s">
        <v>316</v>
      </c>
      <c r="B97" s="197"/>
      <c r="C97" s="197"/>
      <c r="D97" s="197"/>
      <c r="E97" s="197"/>
      <c r="F97" s="197"/>
      <c r="G97" s="197"/>
      <c r="H97" s="197"/>
      <c r="I97" s="197"/>
      <c r="J97" s="200"/>
    </row>
    <row r="98" spans="1:10" ht="15" customHeight="1" x14ac:dyDescent="0.2">
      <c r="A98" s="128" t="s">
        <v>317</v>
      </c>
      <c r="B98" s="233" t="s">
        <v>318</v>
      </c>
      <c r="C98" s="197"/>
      <c r="D98" s="197"/>
      <c r="E98" s="197"/>
      <c r="F98" s="197"/>
      <c r="G98" s="197"/>
      <c r="H98" s="197"/>
      <c r="I98" s="200"/>
      <c r="J98" s="151" t="s">
        <v>258</v>
      </c>
    </row>
    <row r="99" spans="1:10" ht="12.75" customHeight="1" x14ac:dyDescent="0.2">
      <c r="A99" s="121" t="s">
        <v>185</v>
      </c>
      <c r="B99" s="231" t="s">
        <v>319</v>
      </c>
      <c r="C99" s="197"/>
      <c r="D99" s="197"/>
      <c r="E99" s="197"/>
      <c r="F99" s="197"/>
      <c r="G99" s="197"/>
      <c r="H99" s="197"/>
      <c r="I99" s="200"/>
      <c r="J99" s="130">
        <v>0</v>
      </c>
    </row>
    <row r="100" spans="1:10" ht="12.75" customHeight="1" x14ac:dyDescent="0.2">
      <c r="A100" s="248" t="s">
        <v>261</v>
      </c>
      <c r="B100" s="197"/>
      <c r="C100" s="197"/>
      <c r="D100" s="197"/>
      <c r="E100" s="197"/>
      <c r="F100" s="197"/>
      <c r="G100" s="197"/>
      <c r="H100" s="197"/>
      <c r="I100" s="200"/>
      <c r="J100" s="130">
        <v>0</v>
      </c>
    </row>
    <row r="101" spans="1:10" ht="12.75" customHeight="1" x14ac:dyDescent="0.2">
      <c r="A101" s="125" t="s">
        <v>187</v>
      </c>
      <c r="B101" s="231" t="s">
        <v>320</v>
      </c>
      <c r="C101" s="197"/>
      <c r="D101" s="197"/>
      <c r="E101" s="197"/>
      <c r="F101" s="197"/>
      <c r="G101" s="197"/>
      <c r="H101" s="197"/>
      <c r="I101" s="200"/>
      <c r="J101" s="126">
        <f>ROUND(I51*J100,2)</f>
        <v>0</v>
      </c>
    </row>
    <row r="102" spans="1:10" ht="12.75" customHeight="1" x14ac:dyDescent="0.2">
      <c r="A102" s="232" t="s">
        <v>261</v>
      </c>
      <c r="B102" s="197"/>
      <c r="C102" s="197"/>
      <c r="D102" s="197"/>
      <c r="E102" s="197"/>
      <c r="F102" s="197"/>
      <c r="G102" s="197"/>
      <c r="H102" s="197"/>
      <c r="I102" s="200"/>
      <c r="J102" s="127">
        <f>SUM(J100:J101)</f>
        <v>0</v>
      </c>
    </row>
    <row r="103" spans="1:10" ht="12.75" customHeight="1" x14ac:dyDescent="0.2">
      <c r="A103" s="256"/>
      <c r="B103" s="197"/>
      <c r="C103" s="197"/>
      <c r="D103" s="197"/>
      <c r="E103" s="197"/>
      <c r="F103" s="197"/>
      <c r="G103" s="197"/>
      <c r="H103" s="197"/>
      <c r="I103" s="197"/>
      <c r="J103" s="200"/>
    </row>
    <row r="104" spans="1:10" ht="15.75" customHeight="1" x14ac:dyDescent="0.2">
      <c r="A104" s="226" t="s">
        <v>321</v>
      </c>
      <c r="B104" s="197"/>
      <c r="C104" s="197"/>
      <c r="D104" s="197"/>
      <c r="E104" s="197"/>
      <c r="F104" s="197"/>
      <c r="G104" s="197"/>
      <c r="H104" s="197"/>
      <c r="I104" s="197"/>
      <c r="J104" s="200"/>
    </row>
    <row r="105" spans="1:10" ht="15.75" customHeight="1" x14ac:dyDescent="0.2">
      <c r="A105" s="113">
        <v>4</v>
      </c>
      <c r="B105" s="240" t="s">
        <v>322</v>
      </c>
      <c r="C105" s="197"/>
      <c r="D105" s="197"/>
      <c r="E105" s="197"/>
      <c r="F105" s="197"/>
      <c r="G105" s="197"/>
      <c r="H105" s="197"/>
      <c r="I105" s="200"/>
      <c r="J105" s="151" t="s">
        <v>258</v>
      </c>
    </row>
    <row r="106" spans="1:10" ht="14.25" customHeight="1" x14ac:dyDescent="0.2">
      <c r="A106" s="87" t="s">
        <v>307</v>
      </c>
      <c r="B106" s="213" t="s">
        <v>323</v>
      </c>
      <c r="C106" s="197"/>
      <c r="D106" s="197"/>
      <c r="E106" s="197"/>
      <c r="F106" s="197"/>
      <c r="G106" s="197"/>
      <c r="H106" s="197"/>
      <c r="I106" s="200"/>
      <c r="J106" s="130">
        <f>J96</f>
        <v>167.37</v>
      </c>
    </row>
    <row r="107" spans="1:10" ht="14.25" customHeight="1" x14ac:dyDescent="0.2">
      <c r="A107" s="87" t="s">
        <v>324</v>
      </c>
      <c r="B107" s="213" t="s">
        <v>325</v>
      </c>
      <c r="C107" s="197"/>
      <c r="D107" s="197"/>
      <c r="E107" s="197"/>
      <c r="F107" s="197"/>
      <c r="G107" s="197"/>
      <c r="H107" s="197"/>
      <c r="I107" s="200"/>
      <c r="J107" s="130">
        <f>J102</f>
        <v>0</v>
      </c>
    </row>
    <row r="108" spans="1:10" ht="14.25" customHeight="1" x14ac:dyDescent="0.2">
      <c r="A108" s="243" t="s">
        <v>261</v>
      </c>
      <c r="B108" s="197"/>
      <c r="C108" s="197"/>
      <c r="D108" s="197"/>
      <c r="E108" s="197"/>
      <c r="F108" s="197"/>
      <c r="G108" s="197"/>
      <c r="H108" s="197"/>
      <c r="I108" s="200"/>
      <c r="J108" s="127">
        <f>SUM(J106+J107)</f>
        <v>167.37</v>
      </c>
    </row>
    <row r="109" spans="1:10" ht="12.75" customHeight="1" x14ac:dyDescent="0.2">
      <c r="A109" s="225"/>
      <c r="B109" s="197"/>
      <c r="C109" s="197"/>
      <c r="D109" s="197"/>
      <c r="E109" s="197"/>
      <c r="F109" s="197"/>
      <c r="G109" s="197"/>
      <c r="H109" s="197"/>
      <c r="I109" s="197"/>
      <c r="J109" s="200"/>
    </row>
    <row r="110" spans="1:10" ht="15.75" customHeight="1" x14ac:dyDescent="0.2">
      <c r="A110" s="226" t="s">
        <v>326</v>
      </c>
      <c r="B110" s="197"/>
      <c r="C110" s="197"/>
      <c r="D110" s="197"/>
      <c r="E110" s="197"/>
      <c r="F110" s="197"/>
      <c r="G110" s="197"/>
      <c r="H110" s="197"/>
      <c r="I110" s="197"/>
      <c r="J110" s="200"/>
    </row>
    <row r="111" spans="1:10" ht="15.75" customHeight="1" x14ac:dyDescent="0.2">
      <c r="A111" s="128">
        <v>5</v>
      </c>
      <c r="B111" s="233" t="s">
        <v>327</v>
      </c>
      <c r="C111" s="197"/>
      <c r="D111" s="197"/>
      <c r="E111" s="197"/>
      <c r="F111" s="197"/>
      <c r="G111" s="197"/>
      <c r="H111" s="197"/>
      <c r="I111" s="200"/>
      <c r="J111" s="128" t="s">
        <v>258</v>
      </c>
    </row>
    <row r="112" spans="1:10" ht="12.75" customHeight="1" x14ac:dyDescent="0.2">
      <c r="A112" s="121" t="s">
        <v>185</v>
      </c>
      <c r="B112" s="231" t="s">
        <v>328</v>
      </c>
      <c r="C112" s="197"/>
      <c r="D112" s="197"/>
      <c r="E112" s="197"/>
      <c r="F112" s="197"/>
      <c r="G112" s="197"/>
      <c r="H112" s="197"/>
      <c r="I112" s="200"/>
      <c r="J112" s="130">
        <f>'INSUMOS - Sapiranga'!D174</f>
        <v>256.12666666666661</v>
      </c>
    </row>
    <row r="113" spans="1:10" ht="12.75" customHeight="1" x14ac:dyDescent="0.2">
      <c r="A113" s="121" t="s">
        <v>187</v>
      </c>
      <c r="B113" s="231" t="s">
        <v>329</v>
      </c>
      <c r="C113" s="197"/>
      <c r="D113" s="197"/>
      <c r="E113" s="197"/>
      <c r="F113" s="197"/>
      <c r="G113" s="197"/>
      <c r="H113" s="197"/>
      <c r="I113" s="200"/>
      <c r="J113" s="152">
        <f>'INSUMOS - Sapiranga'!D171+'INSUMOS - Sapiranga'!D172</f>
        <v>535.65166666666664</v>
      </c>
    </row>
    <row r="114" spans="1:10" ht="12.75" customHeight="1" x14ac:dyDescent="0.2">
      <c r="A114" s="121" t="s">
        <v>190</v>
      </c>
      <c r="B114" s="231" t="s">
        <v>330</v>
      </c>
      <c r="C114" s="197"/>
      <c r="D114" s="197"/>
      <c r="E114" s="197"/>
      <c r="F114" s="197"/>
      <c r="G114" s="197"/>
      <c r="H114" s="197"/>
      <c r="I114" s="200"/>
      <c r="J114" s="152">
        <f>'INSUMOS - Sapiranga'!D173</f>
        <v>157.15374999999997</v>
      </c>
    </row>
    <row r="115" spans="1:10" ht="12.75" customHeight="1" x14ac:dyDescent="0.2">
      <c r="A115" s="121" t="s">
        <v>192</v>
      </c>
      <c r="B115" s="231" t="s">
        <v>331</v>
      </c>
      <c r="C115" s="197"/>
      <c r="D115" s="197"/>
      <c r="E115" s="197"/>
      <c r="F115" s="197"/>
      <c r="G115" s="197"/>
      <c r="H115" s="197"/>
      <c r="I115" s="200"/>
      <c r="J115" s="152" t="s">
        <v>332</v>
      </c>
    </row>
    <row r="116" spans="1:10" ht="12.75" customHeight="1" x14ac:dyDescent="0.2">
      <c r="A116" s="232" t="s">
        <v>253</v>
      </c>
      <c r="B116" s="197"/>
      <c r="C116" s="197"/>
      <c r="D116" s="197"/>
      <c r="E116" s="197"/>
      <c r="F116" s="197"/>
      <c r="G116" s="197"/>
      <c r="H116" s="197"/>
      <c r="I116" s="200"/>
      <c r="J116" s="153">
        <f>SUM(J112:J115)</f>
        <v>948.93208333333314</v>
      </c>
    </row>
    <row r="117" spans="1:10" ht="12.75" customHeight="1" x14ac:dyDescent="0.2">
      <c r="A117" s="225"/>
      <c r="B117" s="197"/>
      <c r="C117" s="197"/>
      <c r="D117" s="197"/>
      <c r="E117" s="197"/>
      <c r="F117" s="197"/>
      <c r="G117" s="197"/>
      <c r="H117" s="197"/>
      <c r="I117" s="197"/>
      <c r="J117" s="200"/>
    </row>
    <row r="118" spans="1:10" ht="15.75" customHeight="1" x14ac:dyDescent="0.2">
      <c r="A118" s="226" t="s">
        <v>333</v>
      </c>
      <c r="B118" s="197"/>
      <c r="C118" s="197"/>
      <c r="D118" s="197"/>
      <c r="E118" s="197"/>
      <c r="F118" s="197"/>
      <c r="G118" s="197"/>
      <c r="H118" s="197"/>
      <c r="I118" s="197"/>
      <c r="J118" s="200"/>
    </row>
    <row r="119" spans="1:10" ht="30" customHeight="1" x14ac:dyDescent="0.2">
      <c r="A119" s="128">
        <v>6</v>
      </c>
      <c r="B119" s="233" t="s">
        <v>334</v>
      </c>
      <c r="C119" s="197"/>
      <c r="D119" s="197"/>
      <c r="E119" s="197"/>
      <c r="F119" s="197"/>
      <c r="G119" s="197"/>
      <c r="H119" s="200"/>
      <c r="I119" s="113" t="s">
        <v>266</v>
      </c>
      <c r="J119" s="154" t="s">
        <v>335</v>
      </c>
    </row>
    <row r="120" spans="1:10" ht="12.75" customHeight="1" x14ac:dyDescent="0.2">
      <c r="A120" s="229" t="s">
        <v>336</v>
      </c>
      <c r="B120" s="197"/>
      <c r="C120" s="197"/>
      <c r="D120" s="197"/>
      <c r="E120" s="197"/>
      <c r="F120" s="197"/>
      <c r="G120" s="197"/>
      <c r="H120" s="200"/>
      <c r="I120" s="155" t="s">
        <v>286</v>
      </c>
      <c r="J120" s="156">
        <f>SUM(J30+J73+J82+J108+J116)</f>
        <v>3123.5020833333328</v>
      </c>
    </row>
    <row r="121" spans="1:10" ht="15.75" customHeight="1" x14ac:dyDescent="0.2">
      <c r="A121" s="157" t="s">
        <v>185</v>
      </c>
      <c r="B121" s="257" t="s">
        <v>337</v>
      </c>
      <c r="C121" s="197"/>
      <c r="D121" s="197"/>
      <c r="E121" s="197"/>
      <c r="F121" s="197"/>
      <c r="G121" s="197"/>
      <c r="H121" s="200"/>
      <c r="I121" s="129">
        <v>0.03</v>
      </c>
      <c r="J121" s="130">
        <f>ROUND(I121*J120,2)</f>
        <v>93.71</v>
      </c>
    </row>
    <row r="122" spans="1:10" ht="12.75" customHeight="1" x14ac:dyDescent="0.2">
      <c r="A122" s="229" t="s">
        <v>338</v>
      </c>
      <c r="B122" s="197"/>
      <c r="C122" s="197"/>
      <c r="D122" s="197"/>
      <c r="E122" s="197"/>
      <c r="F122" s="197"/>
      <c r="G122" s="197"/>
      <c r="H122" s="200"/>
      <c r="I122" s="158" t="s">
        <v>286</v>
      </c>
      <c r="J122" s="156">
        <f>SUM(J30+J73+J82+J108+J116+J121)</f>
        <v>3217.2120833333329</v>
      </c>
    </row>
    <row r="123" spans="1:10" ht="15.75" customHeight="1" x14ac:dyDescent="0.2">
      <c r="A123" s="157" t="s">
        <v>187</v>
      </c>
      <c r="B123" s="257" t="s">
        <v>339</v>
      </c>
      <c r="C123" s="197"/>
      <c r="D123" s="197"/>
      <c r="E123" s="197"/>
      <c r="F123" s="197"/>
      <c r="G123" s="197"/>
      <c r="H123" s="200"/>
      <c r="I123" s="129">
        <v>6.7900000000000002E-2</v>
      </c>
      <c r="J123" s="130">
        <f>ROUND(I123*J122,2)</f>
        <v>218.45</v>
      </c>
    </row>
    <row r="124" spans="1:10" ht="12.75" customHeight="1" x14ac:dyDescent="0.2">
      <c r="A124" s="229" t="s">
        <v>340</v>
      </c>
      <c r="B124" s="197"/>
      <c r="C124" s="197"/>
      <c r="D124" s="197"/>
      <c r="E124" s="197"/>
      <c r="F124" s="197"/>
      <c r="G124" s="197"/>
      <c r="H124" s="200"/>
      <c r="I124" s="158" t="s">
        <v>286</v>
      </c>
      <c r="J124" s="156">
        <f>SUM(J30+J73+J82+J108+J116+J121+J123)</f>
        <v>3435.6620833333327</v>
      </c>
    </row>
    <row r="125" spans="1:10" ht="15.75" customHeight="1" x14ac:dyDescent="0.2">
      <c r="A125" s="157" t="s">
        <v>190</v>
      </c>
      <c r="B125" s="257" t="s">
        <v>341</v>
      </c>
      <c r="C125" s="197"/>
      <c r="D125" s="197"/>
      <c r="E125" s="197"/>
      <c r="F125" s="197"/>
      <c r="G125" s="197"/>
      <c r="H125" s="200"/>
      <c r="I125" s="122" t="s">
        <v>286</v>
      </c>
      <c r="J125" s="137" t="s">
        <v>286</v>
      </c>
    </row>
    <row r="126" spans="1:10" ht="12.75" customHeight="1" x14ac:dyDescent="0.2">
      <c r="A126" s="121"/>
      <c r="B126" s="231" t="s">
        <v>342</v>
      </c>
      <c r="C126" s="197"/>
      <c r="D126" s="197"/>
      <c r="E126" s="197"/>
      <c r="F126" s="197"/>
      <c r="G126" s="197"/>
      <c r="H126" s="200"/>
      <c r="I126" s="122" t="s">
        <v>286</v>
      </c>
      <c r="J126" s="137" t="s">
        <v>286</v>
      </c>
    </row>
    <row r="127" spans="1:10" ht="12.75" customHeight="1" x14ac:dyDescent="0.2">
      <c r="A127" s="121"/>
      <c r="B127" s="231" t="s">
        <v>539</v>
      </c>
      <c r="C127" s="197"/>
      <c r="D127" s="197"/>
      <c r="E127" s="197"/>
      <c r="F127" s="197"/>
      <c r="G127" s="197"/>
      <c r="H127" s="200"/>
      <c r="I127" s="116">
        <v>7.5999999999999998E-2</v>
      </c>
      <c r="J127" s="130">
        <f t="shared" ref="J127:J128" si="3">ROUND(($J$124/(1-$I$136))*I127,2)</f>
        <v>294.20999999999998</v>
      </c>
    </row>
    <row r="128" spans="1:10" ht="12.75" customHeight="1" x14ac:dyDescent="0.2">
      <c r="A128" s="121"/>
      <c r="B128" s="231" t="s">
        <v>540</v>
      </c>
      <c r="C128" s="197"/>
      <c r="D128" s="197"/>
      <c r="E128" s="197"/>
      <c r="F128" s="197"/>
      <c r="G128" s="197"/>
      <c r="H128" s="200"/>
      <c r="I128" s="116">
        <v>1.6500000000000001E-2</v>
      </c>
      <c r="J128" s="130">
        <f t="shared" si="3"/>
        <v>63.87</v>
      </c>
    </row>
    <row r="129" spans="1:10" ht="27" customHeight="1" x14ac:dyDescent="0.2">
      <c r="A129" s="121"/>
      <c r="B129" s="213" t="s">
        <v>345</v>
      </c>
      <c r="C129" s="197"/>
      <c r="D129" s="197"/>
      <c r="E129" s="197"/>
      <c r="F129" s="197"/>
      <c r="G129" s="197"/>
      <c r="H129" s="200"/>
      <c r="I129" s="159" t="s">
        <v>286</v>
      </c>
      <c r="J129" s="137" t="s">
        <v>286</v>
      </c>
    </row>
    <row r="130" spans="1:10" ht="27" customHeight="1" x14ac:dyDescent="0.2">
      <c r="A130" s="121"/>
      <c r="B130" s="213" t="s">
        <v>346</v>
      </c>
      <c r="C130" s="197"/>
      <c r="D130" s="197"/>
      <c r="E130" s="197"/>
      <c r="F130" s="197"/>
      <c r="G130" s="197"/>
      <c r="H130" s="200"/>
      <c r="I130" s="159" t="s">
        <v>286</v>
      </c>
      <c r="J130" s="137" t="s">
        <v>286</v>
      </c>
    </row>
    <row r="131" spans="1:10" ht="12.75" customHeight="1" x14ac:dyDescent="0.2">
      <c r="A131" s="121"/>
      <c r="B131" s="231" t="s">
        <v>347</v>
      </c>
      <c r="C131" s="197"/>
      <c r="D131" s="197"/>
      <c r="E131" s="197"/>
      <c r="F131" s="197"/>
      <c r="G131" s="197"/>
      <c r="H131" s="200"/>
      <c r="I131" s="159" t="s">
        <v>286</v>
      </c>
      <c r="J131" s="137" t="s">
        <v>286</v>
      </c>
    </row>
    <row r="132" spans="1:10" ht="12.75" customHeight="1" x14ac:dyDescent="0.2">
      <c r="A132" s="121"/>
      <c r="B132" s="231" t="s">
        <v>348</v>
      </c>
      <c r="C132" s="197"/>
      <c r="D132" s="197"/>
      <c r="E132" s="197"/>
      <c r="F132" s="197"/>
      <c r="G132" s="197"/>
      <c r="H132" s="200"/>
      <c r="I132" s="159" t="s">
        <v>286</v>
      </c>
      <c r="J132" s="137" t="s">
        <v>286</v>
      </c>
    </row>
    <row r="133" spans="1:10" ht="12.75" customHeight="1" x14ac:dyDescent="0.2">
      <c r="A133" s="121"/>
      <c r="B133" s="231" t="s">
        <v>517</v>
      </c>
      <c r="C133" s="197"/>
      <c r="D133" s="197"/>
      <c r="E133" s="197"/>
      <c r="F133" s="197"/>
      <c r="G133" s="197"/>
      <c r="H133" s="200"/>
      <c r="I133" s="116">
        <v>0.02</v>
      </c>
      <c r="J133" s="130">
        <f>ROUND(($J$124/(1-$I$136))*I133,2)</f>
        <v>77.42</v>
      </c>
    </row>
    <row r="134" spans="1:10" ht="12.75" customHeight="1" x14ac:dyDescent="0.2">
      <c r="A134" s="232" t="s">
        <v>261</v>
      </c>
      <c r="B134" s="197"/>
      <c r="C134" s="197"/>
      <c r="D134" s="197"/>
      <c r="E134" s="197"/>
      <c r="F134" s="197"/>
      <c r="G134" s="197"/>
      <c r="H134" s="197"/>
      <c r="I134" s="200"/>
      <c r="J134" s="127">
        <f>SUM(J121+J123+J127+J128+J133)</f>
        <v>747.65999999999985</v>
      </c>
    </row>
    <row r="135" spans="1:10" ht="12.75" customHeight="1" x14ac:dyDescent="0.2">
      <c r="A135" s="225"/>
      <c r="B135" s="197"/>
      <c r="C135" s="197"/>
      <c r="D135" s="197"/>
      <c r="E135" s="197"/>
      <c r="F135" s="197"/>
      <c r="G135" s="197"/>
      <c r="H135" s="197"/>
      <c r="I135" s="197"/>
      <c r="J135" s="200"/>
    </row>
    <row r="136" spans="1:10" ht="14.25" customHeight="1" x14ac:dyDescent="0.2">
      <c r="A136" s="259" t="s">
        <v>350</v>
      </c>
      <c r="B136" s="197"/>
      <c r="C136" s="197"/>
      <c r="D136" s="197"/>
      <c r="E136" s="197"/>
      <c r="F136" s="197"/>
      <c r="G136" s="197"/>
      <c r="H136" s="200"/>
      <c r="I136" s="160">
        <f t="shared" ref="I136:J136" si="4">SUM(I127:I133)</f>
        <v>0.1125</v>
      </c>
      <c r="J136" s="156">
        <f t="shared" si="4"/>
        <v>435.5</v>
      </c>
    </row>
    <row r="137" spans="1:10" ht="12.75" customHeight="1" x14ac:dyDescent="0.2">
      <c r="A137" s="260" t="s">
        <v>351</v>
      </c>
      <c r="B137" s="203"/>
      <c r="C137" s="261"/>
      <c r="D137" s="258" t="s">
        <v>352</v>
      </c>
      <c r="E137" s="197"/>
      <c r="F137" s="197"/>
      <c r="G137" s="197"/>
      <c r="H137" s="197"/>
      <c r="I137" s="197"/>
      <c r="J137" s="200"/>
    </row>
    <row r="138" spans="1:10" ht="12.75" customHeight="1" x14ac:dyDescent="0.2">
      <c r="A138" s="262"/>
      <c r="B138" s="178"/>
      <c r="C138" s="216"/>
      <c r="D138" s="258" t="s">
        <v>353</v>
      </c>
      <c r="E138" s="197"/>
      <c r="F138" s="197"/>
      <c r="G138" s="197"/>
      <c r="H138" s="197"/>
      <c r="I138" s="197"/>
      <c r="J138" s="200"/>
    </row>
    <row r="139" spans="1:10" ht="12.75" customHeight="1" x14ac:dyDescent="0.2">
      <c r="A139" s="263"/>
      <c r="B139" s="209"/>
      <c r="C139" s="210"/>
      <c r="D139" s="258" t="s">
        <v>354</v>
      </c>
      <c r="E139" s="197"/>
      <c r="F139" s="197"/>
      <c r="G139" s="197"/>
      <c r="H139" s="197"/>
      <c r="I139" s="197"/>
      <c r="J139" s="200"/>
    </row>
    <row r="140" spans="1:10" ht="12.75" customHeight="1" x14ac:dyDescent="0.2">
      <c r="A140" s="225"/>
      <c r="B140" s="197"/>
      <c r="C140" s="197"/>
      <c r="D140" s="197"/>
      <c r="E140" s="197"/>
      <c r="F140" s="197"/>
      <c r="G140" s="197"/>
      <c r="H140" s="197"/>
      <c r="I140" s="197"/>
      <c r="J140" s="200"/>
    </row>
    <row r="141" spans="1:10" ht="45.75" customHeight="1" x14ac:dyDescent="0.2">
      <c r="A141" s="264" t="s">
        <v>355</v>
      </c>
      <c r="B141" s="197"/>
      <c r="C141" s="197"/>
      <c r="D141" s="197"/>
      <c r="E141" s="197"/>
      <c r="F141" s="197"/>
      <c r="G141" s="197"/>
      <c r="H141" s="197"/>
      <c r="I141" s="197"/>
      <c r="J141" s="200"/>
    </row>
    <row r="142" spans="1:10" ht="14.25" customHeight="1" x14ac:dyDescent="0.2">
      <c r="A142" s="265" t="s">
        <v>356</v>
      </c>
      <c r="B142" s="197"/>
      <c r="C142" s="197"/>
      <c r="D142" s="197"/>
      <c r="E142" s="197"/>
      <c r="F142" s="197"/>
      <c r="G142" s="197"/>
      <c r="H142" s="197"/>
      <c r="I142" s="200"/>
      <c r="J142" s="161" t="s">
        <v>258</v>
      </c>
    </row>
    <row r="143" spans="1:10" ht="14.25" customHeight="1" x14ac:dyDescent="0.2">
      <c r="A143" s="162" t="s">
        <v>185</v>
      </c>
      <c r="B143" s="253" t="s">
        <v>357</v>
      </c>
      <c r="C143" s="197"/>
      <c r="D143" s="197"/>
      <c r="E143" s="197"/>
      <c r="F143" s="197"/>
      <c r="G143" s="197"/>
      <c r="H143" s="197"/>
      <c r="I143" s="200"/>
      <c r="J143" s="152">
        <f>J30</f>
        <v>1050.3499999999999</v>
      </c>
    </row>
    <row r="144" spans="1:10" ht="14.25" customHeight="1" x14ac:dyDescent="0.2">
      <c r="A144" s="162" t="s">
        <v>187</v>
      </c>
      <c r="B144" s="253" t="s">
        <v>254</v>
      </c>
      <c r="C144" s="197"/>
      <c r="D144" s="197"/>
      <c r="E144" s="197"/>
      <c r="F144" s="197"/>
      <c r="G144" s="197"/>
      <c r="H144" s="197"/>
      <c r="I144" s="200"/>
      <c r="J144" s="152">
        <f>J73</f>
        <v>903.56999999999994</v>
      </c>
    </row>
    <row r="145" spans="1:10" ht="14.25" customHeight="1" x14ac:dyDescent="0.2">
      <c r="A145" s="162" t="s">
        <v>190</v>
      </c>
      <c r="B145" s="253" t="s">
        <v>358</v>
      </c>
      <c r="C145" s="197"/>
      <c r="D145" s="197"/>
      <c r="E145" s="197"/>
      <c r="F145" s="197"/>
      <c r="G145" s="197"/>
      <c r="H145" s="197"/>
      <c r="I145" s="200"/>
      <c r="J145" s="152">
        <f>J82</f>
        <v>53.28</v>
      </c>
    </row>
    <row r="146" spans="1:10" ht="14.25" customHeight="1" x14ac:dyDescent="0.2">
      <c r="A146" s="162" t="s">
        <v>192</v>
      </c>
      <c r="B146" s="253" t="s">
        <v>359</v>
      </c>
      <c r="C146" s="197"/>
      <c r="D146" s="197"/>
      <c r="E146" s="197"/>
      <c r="F146" s="197"/>
      <c r="G146" s="197"/>
      <c r="H146" s="197"/>
      <c r="I146" s="200"/>
      <c r="J146" s="152">
        <f>J108</f>
        <v>167.37</v>
      </c>
    </row>
    <row r="147" spans="1:10" ht="14.25" customHeight="1" x14ac:dyDescent="0.2">
      <c r="A147" s="162" t="s">
        <v>250</v>
      </c>
      <c r="B147" s="253" t="s">
        <v>360</v>
      </c>
      <c r="C147" s="197"/>
      <c r="D147" s="197"/>
      <c r="E147" s="197"/>
      <c r="F147" s="197"/>
      <c r="G147" s="197"/>
      <c r="H147" s="197"/>
      <c r="I147" s="200"/>
      <c r="J147" s="152">
        <f>J116</f>
        <v>948.93208333333314</v>
      </c>
    </row>
    <row r="148" spans="1:10" ht="14.25" customHeight="1" x14ac:dyDescent="0.2">
      <c r="A148" s="254" t="s">
        <v>361</v>
      </c>
      <c r="B148" s="197"/>
      <c r="C148" s="197"/>
      <c r="D148" s="197"/>
      <c r="E148" s="197"/>
      <c r="F148" s="197"/>
      <c r="G148" s="197"/>
      <c r="H148" s="197"/>
      <c r="I148" s="200"/>
      <c r="J148" s="153">
        <f>SUM(J143:J147)</f>
        <v>3123.5020833333328</v>
      </c>
    </row>
    <row r="149" spans="1:10" ht="14.25" customHeight="1" x14ac:dyDescent="0.2">
      <c r="A149" s="162" t="s">
        <v>275</v>
      </c>
      <c r="B149" s="253" t="s">
        <v>362</v>
      </c>
      <c r="C149" s="197"/>
      <c r="D149" s="197"/>
      <c r="E149" s="197"/>
      <c r="F149" s="197"/>
      <c r="G149" s="197"/>
      <c r="H149" s="197"/>
      <c r="I149" s="200"/>
      <c r="J149" s="152">
        <f>J134</f>
        <v>747.65999999999985</v>
      </c>
    </row>
    <row r="150" spans="1:10" ht="14.25" customHeight="1" x14ac:dyDescent="0.2">
      <c r="A150" s="254" t="s">
        <v>363</v>
      </c>
      <c r="B150" s="197"/>
      <c r="C150" s="197"/>
      <c r="D150" s="197"/>
      <c r="E150" s="197"/>
      <c r="F150" s="197"/>
      <c r="G150" s="197"/>
      <c r="H150" s="197"/>
      <c r="I150" s="200"/>
      <c r="J150" s="153">
        <f>SUM(J148:J149)</f>
        <v>3871.1620833333327</v>
      </c>
    </row>
    <row r="151" spans="1:10" ht="12.75" customHeight="1" x14ac:dyDescent="0.2">
      <c r="A151" s="225"/>
      <c r="B151" s="197"/>
      <c r="C151" s="197"/>
      <c r="D151" s="197"/>
      <c r="E151" s="197"/>
      <c r="F151" s="197"/>
      <c r="G151" s="197"/>
      <c r="H151" s="197"/>
      <c r="I151" s="197"/>
      <c r="J151" s="200"/>
    </row>
    <row r="152" spans="1:10" ht="12.75" customHeight="1" x14ac:dyDescent="0.2">
      <c r="A152" s="255" t="s">
        <v>364</v>
      </c>
      <c r="B152" s="203"/>
      <c r="C152" s="203"/>
      <c r="D152" s="203"/>
      <c r="E152" s="203"/>
      <c r="F152" s="203"/>
      <c r="G152" s="203"/>
      <c r="H152" s="203"/>
      <c r="I152" s="203"/>
      <c r="J152" s="203"/>
    </row>
    <row r="153" spans="1:10" ht="12.75" customHeight="1" x14ac:dyDescent="0.2">
      <c r="A153" s="249" t="s">
        <v>365</v>
      </c>
      <c r="B153" s="197"/>
      <c r="C153" s="197"/>
      <c r="D153" s="197"/>
      <c r="E153" s="197"/>
      <c r="F153" s="197"/>
      <c r="G153" s="200"/>
      <c r="H153" s="249" t="s">
        <v>366</v>
      </c>
      <c r="I153" s="197"/>
      <c r="J153" s="200"/>
    </row>
    <row r="154" spans="1:10" ht="12.75" customHeight="1" x14ac:dyDescent="0.2">
      <c r="A154" s="250" t="s">
        <v>402</v>
      </c>
      <c r="B154" s="203"/>
      <c r="C154" s="203"/>
      <c r="D154" s="203"/>
      <c r="E154" s="203"/>
      <c r="F154" s="203"/>
      <c r="G154" s="203"/>
      <c r="H154" s="251">
        <v>1</v>
      </c>
      <c r="I154" s="203"/>
      <c r="J154" s="203"/>
    </row>
    <row r="155" spans="1:10" ht="12.75" customHeight="1" x14ac:dyDescent="0.2">
      <c r="A155" s="252"/>
      <c r="B155" s="197"/>
      <c r="C155" s="197"/>
      <c r="D155" s="197"/>
      <c r="E155" s="197"/>
      <c r="F155" s="197"/>
      <c r="G155" s="197"/>
      <c r="H155" s="197"/>
      <c r="I155" s="197"/>
      <c r="J155" s="200"/>
    </row>
    <row r="156" spans="1:10" ht="12.75" customHeight="1" x14ac:dyDescent="0.2"/>
    <row r="157" spans="1:10" ht="12.75" customHeight="1" x14ac:dyDescent="0.2"/>
    <row r="158" spans="1:10" ht="12.75" customHeight="1" x14ac:dyDescent="0.2"/>
    <row r="159" spans="1:10" ht="12.75" customHeight="1" x14ac:dyDescent="0.2"/>
    <row r="160" spans="1:1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70">
    <mergeCell ref="B145:I145"/>
    <mergeCell ref="B146:I146"/>
    <mergeCell ref="B147:I147"/>
    <mergeCell ref="A148:I148"/>
    <mergeCell ref="A137:C139"/>
    <mergeCell ref="D137:J137"/>
    <mergeCell ref="D138:J138"/>
    <mergeCell ref="D139:J139"/>
    <mergeCell ref="A140:J140"/>
    <mergeCell ref="A141:J141"/>
    <mergeCell ref="A142:I142"/>
    <mergeCell ref="B143:I143"/>
    <mergeCell ref="B144:I144"/>
    <mergeCell ref="B128:H128"/>
    <mergeCell ref="B129:H129"/>
    <mergeCell ref="B130:H130"/>
    <mergeCell ref="B131:H131"/>
    <mergeCell ref="B132:H132"/>
    <mergeCell ref="B133:H133"/>
    <mergeCell ref="A134:I134"/>
    <mergeCell ref="A135:J135"/>
    <mergeCell ref="A136:H136"/>
    <mergeCell ref="B119:H119"/>
    <mergeCell ref="A120:H120"/>
    <mergeCell ref="B121:H121"/>
    <mergeCell ref="A122:H122"/>
    <mergeCell ref="B123:H123"/>
    <mergeCell ref="A124:H124"/>
    <mergeCell ref="B125:H125"/>
    <mergeCell ref="B126:H126"/>
    <mergeCell ref="B127:H127"/>
    <mergeCell ref="A110:J110"/>
    <mergeCell ref="B111:I111"/>
    <mergeCell ref="B112:I112"/>
    <mergeCell ref="B113:I113"/>
    <mergeCell ref="B114:I114"/>
    <mergeCell ref="B115:I115"/>
    <mergeCell ref="A116:I116"/>
    <mergeCell ref="A117:J117"/>
    <mergeCell ref="A118:J118"/>
    <mergeCell ref="B95:I95"/>
    <mergeCell ref="A96:I96"/>
    <mergeCell ref="A97:J97"/>
    <mergeCell ref="B98:I98"/>
    <mergeCell ref="B99:I99"/>
    <mergeCell ref="A100:I100"/>
    <mergeCell ref="A154:G154"/>
    <mergeCell ref="A155:J155"/>
    <mergeCell ref="B149:I149"/>
    <mergeCell ref="A150:I150"/>
    <mergeCell ref="A151:J151"/>
    <mergeCell ref="A152:J152"/>
    <mergeCell ref="A153:G153"/>
    <mergeCell ref="H153:J153"/>
    <mergeCell ref="H154:J154"/>
    <mergeCell ref="B101:I101"/>
    <mergeCell ref="A102:I102"/>
    <mergeCell ref="A103:J103"/>
    <mergeCell ref="A104:J104"/>
    <mergeCell ref="B105:I105"/>
    <mergeCell ref="B106:I106"/>
    <mergeCell ref="B107:I107"/>
    <mergeCell ref="A108:I108"/>
    <mergeCell ref="A109:J109"/>
    <mergeCell ref="A86:J86"/>
    <mergeCell ref="B87:I87"/>
    <mergeCell ref="B88:H88"/>
    <mergeCell ref="B89:I89"/>
    <mergeCell ref="B90:I90"/>
    <mergeCell ref="B91:I91"/>
    <mergeCell ref="B92:I92"/>
    <mergeCell ref="B93:I93"/>
    <mergeCell ref="A94:I94"/>
    <mergeCell ref="B77:I77"/>
    <mergeCell ref="B78:I78"/>
    <mergeCell ref="B79:I79"/>
    <mergeCell ref="B80:I80"/>
    <mergeCell ref="B81:H81"/>
    <mergeCell ref="A82:I82"/>
    <mergeCell ref="A83:J83"/>
    <mergeCell ref="A84:J84"/>
    <mergeCell ref="A85:I85"/>
    <mergeCell ref="A68:J68"/>
    <mergeCell ref="B69:I69"/>
    <mergeCell ref="C70:I70"/>
    <mergeCell ref="C71:I71"/>
    <mergeCell ref="C72:I72"/>
    <mergeCell ref="A73:I73"/>
    <mergeCell ref="A74:J74"/>
    <mergeCell ref="A75:J75"/>
    <mergeCell ref="B76:I76"/>
    <mergeCell ref="B59:H59"/>
    <mergeCell ref="B60:I60"/>
    <mergeCell ref="B61:H61"/>
    <mergeCell ref="B62:H62"/>
    <mergeCell ref="B63:H63"/>
    <mergeCell ref="B64:I64"/>
    <mergeCell ref="B65:I65"/>
    <mergeCell ref="A66:I66"/>
    <mergeCell ref="A67:J67"/>
    <mergeCell ref="B50:H50"/>
    <mergeCell ref="A51:H51"/>
    <mergeCell ref="A52:J52"/>
    <mergeCell ref="A53:J53"/>
    <mergeCell ref="B54:I54"/>
    <mergeCell ref="B55:I55"/>
    <mergeCell ref="B56:H56"/>
    <mergeCell ref="B57:H57"/>
    <mergeCell ref="B58:H58"/>
    <mergeCell ref="B27:I27"/>
    <mergeCell ref="B28:I28"/>
    <mergeCell ref="B29:H29"/>
    <mergeCell ref="A30:I30"/>
    <mergeCell ref="B45:D45"/>
    <mergeCell ref="B46:H46"/>
    <mergeCell ref="B47:H47"/>
    <mergeCell ref="B48:H48"/>
    <mergeCell ref="B49:H49"/>
    <mergeCell ref="B20:G20"/>
    <mergeCell ref="H20:J20"/>
    <mergeCell ref="A21:J21"/>
    <mergeCell ref="A22:J22"/>
    <mergeCell ref="B23:G23"/>
    <mergeCell ref="H23:I23"/>
    <mergeCell ref="B24:I24"/>
    <mergeCell ref="B25:H25"/>
    <mergeCell ref="B26:I26"/>
    <mergeCell ref="A14:J14"/>
    <mergeCell ref="A15:J15"/>
    <mergeCell ref="B16:G16"/>
    <mergeCell ref="H16:J16"/>
    <mergeCell ref="B17:G17"/>
    <mergeCell ref="H17:J17"/>
    <mergeCell ref="B18:G18"/>
    <mergeCell ref="H18:J18"/>
    <mergeCell ref="H19:J19"/>
    <mergeCell ref="B19:G19"/>
    <mergeCell ref="A40:J40"/>
    <mergeCell ref="A41:J41"/>
    <mergeCell ref="B42:H42"/>
    <mergeCell ref="B43:H43"/>
    <mergeCell ref="B44:H44"/>
    <mergeCell ref="A1:J1"/>
    <mergeCell ref="A2:J2"/>
    <mergeCell ref="A3:J3"/>
    <mergeCell ref="A4:G4"/>
    <mergeCell ref="H4:J4"/>
    <mergeCell ref="A5:G5"/>
    <mergeCell ref="H5:J5"/>
    <mergeCell ref="A6:J6"/>
    <mergeCell ref="A7:J7"/>
    <mergeCell ref="B8:G8"/>
    <mergeCell ref="H8:J8"/>
    <mergeCell ref="B9:G9"/>
    <mergeCell ref="H9:J9"/>
    <mergeCell ref="H10:J10"/>
    <mergeCell ref="B10:G10"/>
    <mergeCell ref="B11:G11"/>
    <mergeCell ref="H11:J11"/>
    <mergeCell ref="A12:J12"/>
    <mergeCell ref="A13:J13"/>
    <mergeCell ref="A31:J31"/>
    <mergeCell ref="A32:J32"/>
    <mergeCell ref="A33:J33"/>
    <mergeCell ref="B34:I34"/>
    <mergeCell ref="B35:H35"/>
    <mergeCell ref="B36:H36"/>
    <mergeCell ref="A37:I37"/>
    <mergeCell ref="B38:I38"/>
    <mergeCell ref="A39:I39"/>
  </mergeCells>
  <pageMargins left="0.7" right="0.7" top="0.75" bottom="0.75" header="0" footer="0"/>
  <pageSetup orientation="portrait"/>
  <headerFooter>
    <oddHeader>&amp;C&amp;A</oddHeader>
    <oddFooter>&amp;CPágina &amp;P</oddFooter>
  </headerFooter>
  <colBreaks count="2" manualBreakCount="2">
    <brk man="1"/>
    <brk id="10"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H205"/>
  <sheetViews>
    <sheetView workbookViewId="0">
      <selection sqref="A1:E1"/>
    </sheetView>
  </sheetViews>
  <sheetFormatPr defaultColWidth="12.5703125" defaultRowHeight="15" customHeight="1" x14ac:dyDescent="0.2"/>
  <cols>
    <col min="1" max="1" width="53.5703125" customWidth="1"/>
    <col min="2" max="2" width="11.5703125" customWidth="1"/>
    <col min="3" max="3" width="14.85546875" customWidth="1"/>
    <col min="4" max="4" width="18" customWidth="1"/>
    <col min="5" max="5" width="15.42578125" customWidth="1"/>
  </cols>
  <sheetData>
    <row r="1" spans="1:8" x14ac:dyDescent="0.2">
      <c r="A1" s="180" t="s">
        <v>0</v>
      </c>
      <c r="B1" s="178"/>
      <c r="C1" s="178"/>
      <c r="D1" s="178"/>
      <c r="E1" s="178"/>
      <c r="F1" s="1"/>
      <c r="G1" s="1"/>
      <c r="H1" s="1"/>
    </row>
    <row r="2" spans="1:8" x14ac:dyDescent="0.2">
      <c r="A2" s="181" t="s">
        <v>168</v>
      </c>
      <c r="B2" s="178"/>
      <c r="C2" s="178"/>
      <c r="D2" s="178"/>
      <c r="E2" s="178"/>
      <c r="F2" s="1"/>
      <c r="G2" s="1"/>
      <c r="H2" s="1"/>
    </row>
    <row r="3" spans="1:8" x14ac:dyDescent="0.2">
      <c r="A3" s="182" t="s">
        <v>2</v>
      </c>
      <c r="B3" s="178"/>
      <c r="C3" s="178"/>
      <c r="D3" s="178"/>
      <c r="E3" s="178"/>
      <c r="F3" s="1"/>
      <c r="G3" s="1"/>
      <c r="H3" s="1"/>
    </row>
    <row r="4" spans="1:8" x14ac:dyDescent="0.2">
      <c r="A4" s="183" t="s">
        <v>3</v>
      </c>
      <c r="B4" s="184"/>
      <c r="C4" s="184"/>
      <c r="D4" s="184"/>
      <c r="E4" s="171"/>
      <c r="F4" s="1"/>
      <c r="G4" s="1"/>
      <c r="H4" s="1"/>
    </row>
    <row r="5" spans="1:8" x14ac:dyDescent="0.2">
      <c r="A5" s="2" t="s">
        <v>4</v>
      </c>
      <c r="B5" s="3" t="s">
        <v>5</v>
      </c>
      <c r="C5" s="3" t="s">
        <v>6</v>
      </c>
      <c r="D5" s="4" t="s">
        <v>7</v>
      </c>
      <c r="E5" s="4" t="s">
        <v>8</v>
      </c>
      <c r="F5" s="1"/>
      <c r="G5" s="1"/>
      <c r="H5" s="1"/>
    </row>
    <row r="6" spans="1:8" x14ac:dyDescent="0.2">
      <c r="A6" s="5" t="s">
        <v>9</v>
      </c>
      <c r="B6" s="6" t="s">
        <v>10</v>
      </c>
      <c r="C6" s="6">
        <v>1</v>
      </c>
      <c r="D6" s="7">
        <v>20.49</v>
      </c>
      <c r="E6" s="7">
        <f t="shared" ref="E6:E55" si="0">C6*D6</f>
        <v>20.49</v>
      </c>
      <c r="F6" s="1"/>
      <c r="G6" s="1"/>
      <c r="H6" s="1"/>
    </row>
    <row r="7" spans="1:8" x14ac:dyDescent="0.2">
      <c r="A7" s="5" t="s">
        <v>11</v>
      </c>
      <c r="B7" s="6" t="s">
        <v>10</v>
      </c>
      <c r="C7" s="6">
        <v>1</v>
      </c>
      <c r="D7" s="7">
        <v>31.05</v>
      </c>
      <c r="E7" s="7">
        <f t="shared" si="0"/>
        <v>31.05</v>
      </c>
      <c r="F7" s="1"/>
      <c r="G7" s="1"/>
      <c r="H7" s="1"/>
    </row>
    <row r="8" spans="1:8" x14ac:dyDescent="0.2">
      <c r="A8" s="5" t="s">
        <v>12</v>
      </c>
      <c r="B8" s="6" t="s">
        <v>10</v>
      </c>
      <c r="C8" s="6">
        <v>1</v>
      </c>
      <c r="D8" s="7">
        <v>42.87</v>
      </c>
      <c r="E8" s="7">
        <f t="shared" si="0"/>
        <v>42.87</v>
      </c>
      <c r="F8" s="1"/>
      <c r="G8" s="1"/>
      <c r="H8" s="1"/>
    </row>
    <row r="9" spans="1:8" x14ac:dyDescent="0.2">
      <c r="A9" s="5" t="s">
        <v>13</v>
      </c>
      <c r="B9" s="6" t="s">
        <v>10</v>
      </c>
      <c r="C9" s="6">
        <v>1</v>
      </c>
      <c r="D9" s="7">
        <v>18.760000000000002</v>
      </c>
      <c r="E9" s="7">
        <f t="shared" si="0"/>
        <v>18.760000000000002</v>
      </c>
      <c r="F9" s="1"/>
      <c r="G9" s="1"/>
      <c r="H9" s="1"/>
    </row>
    <row r="10" spans="1:8" x14ac:dyDescent="0.2">
      <c r="A10" s="5" t="s">
        <v>14</v>
      </c>
      <c r="B10" s="6" t="s">
        <v>10</v>
      </c>
      <c r="C10" s="6">
        <v>1</v>
      </c>
      <c r="D10" s="7">
        <v>19.96</v>
      </c>
      <c r="E10" s="7">
        <f t="shared" si="0"/>
        <v>19.96</v>
      </c>
      <c r="F10" s="1"/>
      <c r="G10" s="1"/>
      <c r="H10" s="1"/>
    </row>
    <row r="11" spans="1:8" x14ac:dyDescent="0.2">
      <c r="A11" s="5" t="s">
        <v>15</v>
      </c>
      <c r="B11" s="6" t="s">
        <v>10</v>
      </c>
      <c r="C11" s="6">
        <v>1</v>
      </c>
      <c r="D11" s="7">
        <v>163.49</v>
      </c>
      <c r="E11" s="7">
        <f t="shared" si="0"/>
        <v>163.49</v>
      </c>
      <c r="F11" s="1"/>
      <c r="G11" s="1"/>
      <c r="H11" s="1"/>
    </row>
    <row r="12" spans="1:8" x14ac:dyDescent="0.2">
      <c r="A12" s="5" t="s">
        <v>16</v>
      </c>
      <c r="B12" s="6" t="s">
        <v>10</v>
      </c>
      <c r="C12" s="6">
        <v>1</v>
      </c>
      <c r="D12" s="7">
        <v>20.64</v>
      </c>
      <c r="E12" s="7">
        <f t="shared" si="0"/>
        <v>20.64</v>
      </c>
      <c r="F12" s="1"/>
      <c r="G12" s="1"/>
      <c r="H12" s="1"/>
    </row>
    <row r="13" spans="1:8" x14ac:dyDescent="0.2">
      <c r="A13" s="5" t="s">
        <v>17</v>
      </c>
      <c r="B13" s="6" t="s">
        <v>10</v>
      </c>
      <c r="C13" s="6">
        <v>1</v>
      </c>
      <c r="D13" s="7">
        <v>19.940000000000001</v>
      </c>
      <c r="E13" s="7">
        <f t="shared" si="0"/>
        <v>19.940000000000001</v>
      </c>
      <c r="F13" s="1"/>
      <c r="G13" s="1"/>
      <c r="H13" s="1"/>
    </row>
    <row r="14" spans="1:8" x14ac:dyDescent="0.2">
      <c r="A14" s="5" t="s">
        <v>18</v>
      </c>
      <c r="B14" s="6" t="s">
        <v>10</v>
      </c>
      <c r="C14" s="6">
        <v>1</v>
      </c>
      <c r="D14" s="7">
        <v>67.930000000000007</v>
      </c>
      <c r="E14" s="7">
        <f t="shared" si="0"/>
        <v>67.930000000000007</v>
      </c>
      <c r="F14" s="1"/>
      <c r="G14" s="1"/>
      <c r="H14" s="1"/>
    </row>
    <row r="15" spans="1:8" x14ac:dyDescent="0.2">
      <c r="A15" s="5" t="s">
        <v>19</v>
      </c>
      <c r="B15" s="6" t="s">
        <v>20</v>
      </c>
      <c r="C15" s="6">
        <v>1</v>
      </c>
      <c r="D15" s="7">
        <v>148.77000000000001</v>
      </c>
      <c r="E15" s="7">
        <f t="shared" si="0"/>
        <v>148.77000000000001</v>
      </c>
      <c r="F15" s="1"/>
      <c r="G15" s="1"/>
      <c r="H15" s="1"/>
    </row>
    <row r="16" spans="1:8" x14ac:dyDescent="0.2">
      <c r="A16" s="5" t="s">
        <v>21</v>
      </c>
      <c r="B16" s="6" t="s">
        <v>20</v>
      </c>
      <c r="C16" s="6">
        <v>1</v>
      </c>
      <c r="D16" s="7">
        <v>105.12</v>
      </c>
      <c r="E16" s="7">
        <f t="shared" si="0"/>
        <v>105.12</v>
      </c>
      <c r="F16" s="1"/>
      <c r="G16" s="1"/>
      <c r="H16" s="1"/>
    </row>
    <row r="17" spans="1:8" x14ac:dyDescent="0.2">
      <c r="A17" s="5" t="s">
        <v>22</v>
      </c>
      <c r="B17" s="6" t="s">
        <v>20</v>
      </c>
      <c r="C17" s="6">
        <v>4</v>
      </c>
      <c r="D17" s="7">
        <v>27.73</v>
      </c>
      <c r="E17" s="7">
        <f t="shared" si="0"/>
        <v>110.92</v>
      </c>
      <c r="F17" s="1"/>
      <c r="G17" s="1"/>
      <c r="H17" s="1"/>
    </row>
    <row r="18" spans="1:8" x14ac:dyDescent="0.2">
      <c r="A18" s="5" t="s">
        <v>23</v>
      </c>
      <c r="B18" s="6" t="s">
        <v>20</v>
      </c>
      <c r="C18" s="6">
        <v>2</v>
      </c>
      <c r="D18" s="7">
        <v>44.79</v>
      </c>
      <c r="E18" s="7">
        <f t="shared" si="0"/>
        <v>89.58</v>
      </c>
      <c r="F18" s="1"/>
      <c r="G18" s="1"/>
      <c r="H18" s="1"/>
    </row>
    <row r="19" spans="1:8" x14ac:dyDescent="0.2">
      <c r="A19" s="5" t="s">
        <v>24</v>
      </c>
      <c r="B19" s="6" t="s">
        <v>20</v>
      </c>
      <c r="C19" s="6">
        <v>2</v>
      </c>
      <c r="D19" s="7">
        <v>40.36</v>
      </c>
      <c r="E19" s="7">
        <f t="shared" si="0"/>
        <v>80.72</v>
      </c>
      <c r="F19" s="1"/>
      <c r="G19" s="1"/>
      <c r="H19" s="1"/>
    </row>
    <row r="20" spans="1:8" x14ac:dyDescent="0.2">
      <c r="A20" s="8" t="s">
        <v>25</v>
      </c>
      <c r="B20" s="6" t="s">
        <v>10</v>
      </c>
      <c r="C20" s="6">
        <v>1</v>
      </c>
      <c r="D20" s="7">
        <v>14.23</v>
      </c>
      <c r="E20" s="7">
        <f t="shared" si="0"/>
        <v>14.23</v>
      </c>
      <c r="F20" s="1"/>
      <c r="G20" s="1"/>
      <c r="H20" s="1"/>
    </row>
    <row r="21" spans="1:8" x14ac:dyDescent="0.2">
      <c r="A21" s="5" t="s">
        <v>26</v>
      </c>
      <c r="B21" s="6" t="s">
        <v>10</v>
      </c>
      <c r="C21" s="6">
        <v>1</v>
      </c>
      <c r="D21" s="7">
        <v>20.7</v>
      </c>
      <c r="E21" s="7">
        <f t="shared" si="0"/>
        <v>20.7</v>
      </c>
      <c r="F21" s="1"/>
      <c r="G21" s="1"/>
      <c r="H21" s="1"/>
    </row>
    <row r="22" spans="1:8" x14ac:dyDescent="0.2">
      <c r="A22" s="5" t="s">
        <v>27</v>
      </c>
      <c r="B22" s="6" t="s">
        <v>10</v>
      </c>
      <c r="C22" s="6">
        <v>1</v>
      </c>
      <c r="D22" s="7">
        <v>34.26</v>
      </c>
      <c r="E22" s="7">
        <f t="shared" si="0"/>
        <v>34.26</v>
      </c>
      <c r="F22" s="1"/>
      <c r="G22" s="1"/>
      <c r="H22" s="1"/>
    </row>
    <row r="23" spans="1:8" x14ac:dyDescent="0.2">
      <c r="A23" s="5" t="s">
        <v>28</v>
      </c>
      <c r="B23" s="6" t="s">
        <v>10</v>
      </c>
      <c r="C23" s="6">
        <v>24</v>
      </c>
      <c r="D23" s="7">
        <v>1.39</v>
      </c>
      <c r="E23" s="7">
        <f t="shared" si="0"/>
        <v>33.36</v>
      </c>
      <c r="F23" s="1"/>
      <c r="G23" s="1"/>
      <c r="H23" s="1"/>
    </row>
    <row r="24" spans="1:8" x14ac:dyDescent="0.2">
      <c r="A24" s="5" t="s">
        <v>29</v>
      </c>
      <c r="B24" s="6" t="s">
        <v>10</v>
      </c>
      <c r="C24" s="6">
        <v>24</v>
      </c>
      <c r="D24" s="7">
        <v>4.43</v>
      </c>
      <c r="E24" s="7">
        <f t="shared" si="0"/>
        <v>106.32</v>
      </c>
      <c r="F24" s="1"/>
      <c r="G24" s="1"/>
      <c r="H24" s="1"/>
    </row>
    <row r="25" spans="1:8" x14ac:dyDescent="0.2">
      <c r="A25" s="5" t="s">
        <v>30</v>
      </c>
      <c r="B25" s="6" t="s">
        <v>10</v>
      </c>
      <c r="C25" s="6">
        <v>2</v>
      </c>
      <c r="D25" s="7">
        <v>14.06</v>
      </c>
      <c r="E25" s="7">
        <f t="shared" si="0"/>
        <v>28.12</v>
      </c>
      <c r="F25" s="1"/>
      <c r="G25" s="1"/>
      <c r="H25" s="1"/>
    </row>
    <row r="26" spans="1:8" x14ac:dyDescent="0.2">
      <c r="A26" s="5" t="s">
        <v>31</v>
      </c>
      <c r="B26" s="6" t="s">
        <v>10</v>
      </c>
      <c r="C26" s="6">
        <v>2</v>
      </c>
      <c r="D26" s="7">
        <v>9.09</v>
      </c>
      <c r="E26" s="7">
        <f t="shared" si="0"/>
        <v>18.18</v>
      </c>
      <c r="F26" s="1"/>
      <c r="G26" s="1"/>
      <c r="H26" s="1"/>
    </row>
    <row r="27" spans="1:8" x14ac:dyDescent="0.2">
      <c r="A27" s="5" t="s">
        <v>32</v>
      </c>
      <c r="B27" s="6" t="s">
        <v>10</v>
      </c>
      <c r="C27" s="6">
        <v>1</v>
      </c>
      <c r="D27" s="7">
        <v>28.33</v>
      </c>
      <c r="E27" s="7">
        <f t="shared" si="0"/>
        <v>28.33</v>
      </c>
      <c r="F27" s="1"/>
      <c r="G27" s="1"/>
      <c r="H27" s="1"/>
    </row>
    <row r="28" spans="1:8" x14ac:dyDescent="0.2">
      <c r="A28" s="5" t="s">
        <v>33</v>
      </c>
      <c r="B28" s="6" t="s">
        <v>10</v>
      </c>
      <c r="C28" s="6">
        <v>6</v>
      </c>
      <c r="D28" s="7">
        <v>12.82</v>
      </c>
      <c r="E28" s="7">
        <f t="shared" si="0"/>
        <v>76.92</v>
      </c>
      <c r="F28" s="1"/>
      <c r="G28" s="1"/>
      <c r="H28" s="1"/>
    </row>
    <row r="29" spans="1:8" x14ac:dyDescent="0.2">
      <c r="A29" s="5" t="s">
        <v>34</v>
      </c>
      <c r="B29" s="6" t="s">
        <v>10</v>
      </c>
      <c r="C29" s="6">
        <v>1</v>
      </c>
      <c r="D29" s="7">
        <v>19.079999999999998</v>
      </c>
      <c r="E29" s="7">
        <f t="shared" si="0"/>
        <v>19.079999999999998</v>
      </c>
      <c r="F29" s="1"/>
      <c r="G29" s="1"/>
      <c r="H29" s="1"/>
    </row>
    <row r="30" spans="1:8" x14ac:dyDescent="0.2">
      <c r="A30" s="5" t="s">
        <v>35</v>
      </c>
      <c r="B30" s="6" t="s">
        <v>10</v>
      </c>
      <c r="C30" s="6">
        <v>24</v>
      </c>
      <c r="D30" s="7">
        <v>35.46</v>
      </c>
      <c r="E30" s="7">
        <f t="shared" si="0"/>
        <v>851.04</v>
      </c>
      <c r="F30" s="1"/>
      <c r="G30" s="1"/>
      <c r="H30" s="1"/>
    </row>
    <row r="31" spans="1:8" x14ac:dyDescent="0.2">
      <c r="A31" s="5" t="s">
        <v>36</v>
      </c>
      <c r="B31" s="6" t="s">
        <v>10</v>
      </c>
      <c r="C31" s="6">
        <v>4</v>
      </c>
      <c r="D31" s="7">
        <v>1.82</v>
      </c>
      <c r="E31" s="7">
        <f t="shared" si="0"/>
        <v>7.28</v>
      </c>
      <c r="F31" s="1"/>
      <c r="G31" s="1"/>
      <c r="H31" s="1"/>
    </row>
    <row r="32" spans="1:8" x14ac:dyDescent="0.2">
      <c r="A32" s="5" t="s">
        <v>37</v>
      </c>
      <c r="B32" s="6" t="s">
        <v>10</v>
      </c>
      <c r="C32" s="6">
        <v>1</v>
      </c>
      <c r="D32" s="7">
        <v>184.73</v>
      </c>
      <c r="E32" s="7">
        <f t="shared" si="0"/>
        <v>184.73</v>
      </c>
      <c r="F32" s="1"/>
      <c r="G32" s="1"/>
      <c r="H32" s="1"/>
    </row>
    <row r="33" spans="1:8" x14ac:dyDescent="0.2">
      <c r="A33" s="5" t="s">
        <v>38</v>
      </c>
      <c r="B33" s="6" t="s">
        <v>10</v>
      </c>
      <c r="C33" s="6">
        <v>1</v>
      </c>
      <c r="D33" s="7">
        <v>51.8</v>
      </c>
      <c r="E33" s="7">
        <f t="shared" si="0"/>
        <v>51.8</v>
      </c>
      <c r="F33" s="1"/>
      <c r="G33" s="1"/>
      <c r="H33" s="1"/>
    </row>
    <row r="34" spans="1:8" x14ac:dyDescent="0.2">
      <c r="A34" s="5" t="s">
        <v>39</v>
      </c>
      <c r="B34" s="6" t="s">
        <v>10</v>
      </c>
      <c r="C34" s="6">
        <v>1</v>
      </c>
      <c r="D34" s="7">
        <v>60.32</v>
      </c>
      <c r="E34" s="7">
        <f t="shared" si="0"/>
        <v>60.32</v>
      </c>
      <c r="F34" s="1"/>
      <c r="G34" s="1"/>
      <c r="H34" s="1"/>
    </row>
    <row r="35" spans="1:8" x14ac:dyDescent="0.2">
      <c r="A35" s="5" t="s">
        <v>40</v>
      </c>
      <c r="B35" s="6" t="s">
        <v>10</v>
      </c>
      <c r="C35" s="6">
        <v>1</v>
      </c>
      <c r="D35" s="7">
        <v>95.17</v>
      </c>
      <c r="E35" s="7">
        <f t="shared" si="0"/>
        <v>95.17</v>
      </c>
      <c r="F35" s="1"/>
      <c r="G35" s="1"/>
      <c r="H35" s="1"/>
    </row>
    <row r="36" spans="1:8" x14ac:dyDescent="0.2">
      <c r="A36" s="5" t="s">
        <v>41</v>
      </c>
      <c r="B36" s="6" t="s">
        <v>10</v>
      </c>
      <c r="C36" s="6">
        <v>1</v>
      </c>
      <c r="D36" s="7">
        <v>147.69999999999999</v>
      </c>
      <c r="E36" s="7">
        <f t="shared" si="0"/>
        <v>147.69999999999999</v>
      </c>
      <c r="F36" s="1"/>
      <c r="G36" s="1"/>
      <c r="H36" s="1"/>
    </row>
    <row r="37" spans="1:8" x14ac:dyDescent="0.2">
      <c r="A37" s="5" t="s">
        <v>42</v>
      </c>
      <c r="B37" s="6" t="s">
        <v>10</v>
      </c>
      <c r="C37" s="6">
        <v>1</v>
      </c>
      <c r="D37" s="7">
        <v>43.37</v>
      </c>
      <c r="E37" s="7">
        <f t="shared" si="0"/>
        <v>43.37</v>
      </c>
      <c r="F37" s="1"/>
      <c r="G37" s="1"/>
      <c r="H37" s="1"/>
    </row>
    <row r="38" spans="1:8" x14ac:dyDescent="0.2">
      <c r="A38" s="5" t="s">
        <v>43</v>
      </c>
      <c r="B38" s="6" t="s">
        <v>10</v>
      </c>
      <c r="C38" s="6">
        <v>1</v>
      </c>
      <c r="D38" s="7">
        <v>79.099999999999994</v>
      </c>
      <c r="E38" s="7">
        <f t="shared" si="0"/>
        <v>79.099999999999994</v>
      </c>
      <c r="F38" s="1"/>
      <c r="G38" s="1"/>
      <c r="H38" s="1"/>
    </row>
    <row r="39" spans="1:8" x14ac:dyDescent="0.2">
      <c r="A39" s="5" t="s">
        <v>44</v>
      </c>
      <c r="B39" s="6" t="s">
        <v>10</v>
      </c>
      <c r="C39" s="6">
        <v>1</v>
      </c>
      <c r="D39" s="7">
        <v>58.47</v>
      </c>
      <c r="E39" s="7">
        <f t="shared" si="0"/>
        <v>58.47</v>
      </c>
      <c r="F39" s="1"/>
      <c r="G39" s="1"/>
      <c r="H39" s="1"/>
    </row>
    <row r="40" spans="1:8" x14ac:dyDescent="0.2">
      <c r="A40" s="5" t="s">
        <v>45</v>
      </c>
      <c r="B40" s="6" t="s">
        <v>10</v>
      </c>
      <c r="C40" s="6">
        <v>1</v>
      </c>
      <c r="D40" s="7">
        <v>33.93</v>
      </c>
      <c r="E40" s="7">
        <f t="shared" si="0"/>
        <v>33.93</v>
      </c>
      <c r="F40" s="1"/>
      <c r="G40" s="1"/>
      <c r="H40" s="1"/>
    </row>
    <row r="41" spans="1:8" x14ac:dyDescent="0.2">
      <c r="A41" s="5" t="s">
        <v>46</v>
      </c>
      <c r="B41" s="6" t="s">
        <v>10</v>
      </c>
      <c r="C41" s="6">
        <v>4</v>
      </c>
      <c r="D41" s="7">
        <v>7.77</v>
      </c>
      <c r="E41" s="7">
        <f t="shared" si="0"/>
        <v>31.08</v>
      </c>
      <c r="F41" s="1"/>
      <c r="G41" s="1"/>
      <c r="H41" s="1"/>
    </row>
    <row r="42" spans="1:8" x14ac:dyDescent="0.2">
      <c r="A42" s="5" t="s">
        <v>47</v>
      </c>
      <c r="B42" s="6" t="s">
        <v>10</v>
      </c>
      <c r="C42" s="6">
        <v>12</v>
      </c>
      <c r="D42" s="7">
        <v>15.39</v>
      </c>
      <c r="E42" s="7">
        <f t="shared" si="0"/>
        <v>184.68</v>
      </c>
      <c r="F42" s="1"/>
      <c r="G42" s="1"/>
      <c r="H42" s="1"/>
    </row>
    <row r="43" spans="1:8" x14ac:dyDescent="0.2">
      <c r="A43" s="5" t="s">
        <v>48</v>
      </c>
      <c r="B43" s="6" t="s">
        <v>10</v>
      </c>
      <c r="C43" s="6">
        <v>12</v>
      </c>
      <c r="D43" s="7">
        <v>6.32</v>
      </c>
      <c r="E43" s="7">
        <f t="shared" si="0"/>
        <v>75.84</v>
      </c>
      <c r="F43" s="1"/>
      <c r="G43" s="1"/>
      <c r="H43" s="1"/>
    </row>
    <row r="44" spans="1:8" x14ac:dyDescent="0.2">
      <c r="A44" s="5" t="s">
        <v>49</v>
      </c>
      <c r="B44" s="6" t="s">
        <v>10</v>
      </c>
      <c r="C44" s="6">
        <v>12</v>
      </c>
      <c r="D44" s="7">
        <v>21.53</v>
      </c>
      <c r="E44" s="7">
        <f t="shared" si="0"/>
        <v>258.36</v>
      </c>
      <c r="F44" s="1"/>
      <c r="G44" s="1"/>
      <c r="H44" s="1"/>
    </row>
    <row r="45" spans="1:8" x14ac:dyDescent="0.2">
      <c r="A45" s="5" t="s">
        <v>50</v>
      </c>
      <c r="B45" s="6" t="s">
        <v>10</v>
      </c>
      <c r="C45" s="6">
        <v>12</v>
      </c>
      <c r="D45" s="7">
        <v>12.25</v>
      </c>
      <c r="E45" s="7">
        <f t="shared" si="0"/>
        <v>147</v>
      </c>
      <c r="F45" s="1"/>
      <c r="G45" s="1"/>
      <c r="H45" s="1"/>
    </row>
    <row r="46" spans="1:8" x14ac:dyDescent="0.2">
      <c r="A46" s="5" t="s">
        <v>51</v>
      </c>
      <c r="B46" s="6" t="s">
        <v>10</v>
      </c>
      <c r="C46" s="6">
        <v>1</v>
      </c>
      <c r="D46" s="7">
        <v>33.75</v>
      </c>
      <c r="E46" s="7">
        <f t="shared" si="0"/>
        <v>33.75</v>
      </c>
      <c r="F46" s="1"/>
      <c r="G46" s="1"/>
      <c r="H46" s="1"/>
    </row>
    <row r="47" spans="1:8" x14ac:dyDescent="0.2">
      <c r="A47" s="5" t="s">
        <v>52</v>
      </c>
      <c r="B47" s="6" t="s">
        <v>10</v>
      </c>
      <c r="C47" s="6">
        <v>1</v>
      </c>
      <c r="D47" s="7">
        <v>47.86</v>
      </c>
      <c r="E47" s="7">
        <f t="shared" si="0"/>
        <v>47.86</v>
      </c>
      <c r="F47" s="1"/>
      <c r="G47" s="1"/>
      <c r="H47" s="1"/>
    </row>
    <row r="48" spans="1:8" x14ac:dyDescent="0.2">
      <c r="A48" s="5" t="s">
        <v>53</v>
      </c>
      <c r="B48" s="6" t="s">
        <v>10</v>
      </c>
      <c r="C48" s="6">
        <v>1</v>
      </c>
      <c r="D48" s="7">
        <v>16.79</v>
      </c>
      <c r="E48" s="7">
        <f t="shared" si="0"/>
        <v>16.79</v>
      </c>
      <c r="F48" s="1"/>
      <c r="G48" s="1"/>
      <c r="H48" s="1"/>
    </row>
    <row r="49" spans="1:8" x14ac:dyDescent="0.2">
      <c r="A49" s="5" t="s">
        <v>54</v>
      </c>
      <c r="B49" s="6" t="s">
        <v>10</v>
      </c>
      <c r="C49" s="6">
        <v>1</v>
      </c>
      <c r="D49" s="7">
        <v>50.6</v>
      </c>
      <c r="E49" s="7">
        <f t="shared" si="0"/>
        <v>50.6</v>
      </c>
      <c r="F49" s="1"/>
      <c r="G49" s="1"/>
      <c r="H49" s="1"/>
    </row>
    <row r="50" spans="1:8" x14ac:dyDescent="0.2">
      <c r="A50" s="5" t="s">
        <v>55</v>
      </c>
      <c r="B50" s="6" t="s">
        <v>10</v>
      </c>
      <c r="C50" s="6">
        <v>1</v>
      </c>
      <c r="D50" s="7">
        <v>74.14</v>
      </c>
      <c r="E50" s="7">
        <f t="shared" si="0"/>
        <v>74.14</v>
      </c>
      <c r="F50" s="1"/>
      <c r="G50" s="1"/>
      <c r="H50" s="1"/>
    </row>
    <row r="51" spans="1:8" x14ac:dyDescent="0.2">
      <c r="A51" s="5" t="s">
        <v>56</v>
      </c>
      <c r="B51" s="6" t="s">
        <v>10</v>
      </c>
      <c r="C51" s="6">
        <v>1</v>
      </c>
      <c r="D51" s="7">
        <v>184.07</v>
      </c>
      <c r="E51" s="7">
        <f t="shared" si="0"/>
        <v>184.07</v>
      </c>
      <c r="F51" s="1"/>
      <c r="G51" s="1"/>
      <c r="H51" s="1"/>
    </row>
    <row r="52" spans="1:8" x14ac:dyDescent="0.2">
      <c r="A52" s="5" t="s">
        <v>57</v>
      </c>
      <c r="B52" s="6" t="s">
        <v>10</v>
      </c>
      <c r="C52" s="6">
        <v>4</v>
      </c>
      <c r="D52" s="7">
        <v>68.95</v>
      </c>
      <c r="E52" s="7">
        <f t="shared" si="0"/>
        <v>275.8</v>
      </c>
      <c r="F52" s="1"/>
      <c r="G52" s="1"/>
      <c r="H52" s="1"/>
    </row>
    <row r="53" spans="1:8" x14ac:dyDescent="0.2">
      <c r="A53" s="5" t="s">
        <v>58</v>
      </c>
      <c r="B53" s="6" t="s">
        <v>10</v>
      </c>
      <c r="C53" s="6">
        <v>2</v>
      </c>
      <c r="D53" s="7">
        <v>20.41</v>
      </c>
      <c r="E53" s="7">
        <f t="shared" si="0"/>
        <v>40.82</v>
      </c>
      <c r="F53" s="1"/>
      <c r="G53" s="1"/>
      <c r="H53" s="1"/>
    </row>
    <row r="54" spans="1:8" x14ac:dyDescent="0.2">
      <c r="A54" s="5" t="s">
        <v>59</v>
      </c>
      <c r="B54" s="6" t="s">
        <v>60</v>
      </c>
      <c r="C54" s="6">
        <v>12</v>
      </c>
      <c r="D54" s="7">
        <v>27.55</v>
      </c>
      <c r="E54" s="7">
        <f t="shared" si="0"/>
        <v>330.6</v>
      </c>
      <c r="F54" s="1"/>
      <c r="G54" s="1"/>
      <c r="H54" s="1"/>
    </row>
    <row r="55" spans="1:8" x14ac:dyDescent="0.2">
      <c r="A55" s="5" t="s">
        <v>61</v>
      </c>
      <c r="B55" s="6" t="s">
        <v>10</v>
      </c>
      <c r="C55" s="6">
        <v>1</v>
      </c>
      <c r="D55" s="7">
        <v>8.9</v>
      </c>
      <c r="E55" s="7">
        <f t="shared" si="0"/>
        <v>8.9</v>
      </c>
      <c r="F55" s="1"/>
      <c r="G55" s="1"/>
      <c r="H55" s="1"/>
    </row>
    <row r="56" spans="1:8" x14ac:dyDescent="0.2">
      <c r="A56" s="185" t="s">
        <v>62</v>
      </c>
      <c r="B56" s="186"/>
      <c r="C56" s="186"/>
      <c r="D56" s="187"/>
      <c r="E56" s="9">
        <f>SUM(E6:E55)</f>
        <v>4692.9399999999996</v>
      </c>
      <c r="F56" s="1"/>
      <c r="G56" s="1"/>
      <c r="H56" s="1"/>
    </row>
    <row r="57" spans="1:8" x14ac:dyDescent="0.2">
      <c r="A57" s="185" t="s">
        <v>63</v>
      </c>
      <c r="B57" s="186"/>
      <c r="C57" s="186"/>
      <c r="D57" s="187"/>
      <c r="E57" s="9">
        <f>E56/12</f>
        <v>391.07833333333332</v>
      </c>
      <c r="F57" s="1"/>
      <c r="G57" s="1"/>
      <c r="H57" s="1"/>
    </row>
    <row r="58" spans="1:8" x14ac:dyDescent="0.2">
      <c r="A58" s="10"/>
      <c r="B58" s="10"/>
      <c r="C58" s="10"/>
      <c r="D58" s="11"/>
      <c r="E58" s="11"/>
      <c r="F58" s="10"/>
      <c r="G58" s="10"/>
      <c r="H58" s="1"/>
    </row>
    <row r="59" spans="1:8" x14ac:dyDescent="0.2">
      <c r="A59" s="2" t="s">
        <v>64</v>
      </c>
      <c r="B59" s="3" t="s">
        <v>5</v>
      </c>
      <c r="C59" s="3" t="s">
        <v>6</v>
      </c>
      <c r="D59" s="3" t="s">
        <v>65</v>
      </c>
      <c r="E59" s="3" t="s">
        <v>66</v>
      </c>
      <c r="F59" s="4" t="s">
        <v>7</v>
      </c>
      <c r="G59" s="4" t="s">
        <v>8</v>
      </c>
      <c r="H59" s="1"/>
    </row>
    <row r="60" spans="1:8" x14ac:dyDescent="0.2">
      <c r="A60" s="5" t="s">
        <v>67</v>
      </c>
      <c r="B60" s="6" t="s">
        <v>68</v>
      </c>
      <c r="C60" s="6">
        <f t="shared" ref="C60:C63" si="1">E60/5</f>
        <v>24.8</v>
      </c>
      <c r="D60" s="6">
        <v>62</v>
      </c>
      <c r="E60" s="6">
        <f t="shared" ref="E60:E63" si="2">D60*2</f>
        <v>124</v>
      </c>
      <c r="F60" s="7">
        <v>569.58000000000004</v>
      </c>
      <c r="G60" s="7">
        <f t="shared" ref="G60:G61" si="3">F60*C60</f>
        <v>14125.584000000001</v>
      </c>
      <c r="H60" s="1"/>
    </row>
    <row r="61" spans="1:8" x14ac:dyDescent="0.2">
      <c r="A61" s="5" t="s">
        <v>169</v>
      </c>
      <c r="B61" s="6" t="s">
        <v>70</v>
      </c>
      <c r="C61" s="6">
        <f t="shared" si="1"/>
        <v>0.4</v>
      </c>
      <c r="D61" s="6">
        <v>1</v>
      </c>
      <c r="E61" s="6">
        <f t="shared" si="2"/>
        <v>2</v>
      </c>
      <c r="F61" s="7">
        <v>208.9</v>
      </c>
      <c r="G61" s="7">
        <f t="shared" si="3"/>
        <v>83.56</v>
      </c>
      <c r="H61" s="1"/>
    </row>
    <row r="62" spans="1:8" x14ac:dyDescent="0.2">
      <c r="A62" s="5" t="s">
        <v>69</v>
      </c>
      <c r="B62" s="6" t="s">
        <v>70</v>
      </c>
      <c r="C62" s="6">
        <f t="shared" si="1"/>
        <v>0.4</v>
      </c>
      <c r="D62" s="6">
        <v>1</v>
      </c>
      <c r="E62" s="6">
        <f t="shared" si="2"/>
        <v>2</v>
      </c>
      <c r="F62" s="7">
        <v>139.76</v>
      </c>
      <c r="G62" s="7">
        <f t="shared" ref="G62:G63" si="4">C62*F62</f>
        <v>55.903999999999996</v>
      </c>
      <c r="H62" s="1"/>
    </row>
    <row r="63" spans="1:8" x14ac:dyDescent="0.2">
      <c r="A63" s="5" t="s">
        <v>71</v>
      </c>
      <c r="B63" s="6" t="s">
        <v>70</v>
      </c>
      <c r="C63" s="6">
        <f t="shared" si="1"/>
        <v>6</v>
      </c>
      <c r="D63" s="6">
        <v>15</v>
      </c>
      <c r="E63" s="6">
        <f t="shared" si="2"/>
        <v>30</v>
      </c>
      <c r="F63" s="7">
        <v>153.6</v>
      </c>
      <c r="G63" s="7">
        <f t="shared" si="4"/>
        <v>921.59999999999991</v>
      </c>
      <c r="H63" s="1"/>
    </row>
    <row r="64" spans="1:8" x14ac:dyDescent="0.2">
      <c r="A64" s="185" t="s">
        <v>62</v>
      </c>
      <c r="B64" s="186"/>
      <c r="C64" s="186"/>
      <c r="D64" s="186"/>
      <c r="E64" s="186"/>
      <c r="F64" s="187"/>
      <c r="G64" s="9">
        <f>SUM(G60:G63)</f>
        <v>15186.648000000001</v>
      </c>
      <c r="H64" s="1"/>
    </row>
    <row r="65" spans="1:8" x14ac:dyDescent="0.2">
      <c r="A65" s="185" t="s">
        <v>63</v>
      </c>
      <c r="B65" s="186"/>
      <c r="C65" s="186"/>
      <c r="D65" s="186"/>
      <c r="E65" s="186"/>
      <c r="F65" s="187"/>
      <c r="G65" s="9">
        <f>G64/12</f>
        <v>1265.5540000000001</v>
      </c>
      <c r="H65" s="12"/>
    </row>
    <row r="66" spans="1:8" x14ac:dyDescent="0.2">
      <c r="A66" s="1"/>
      <c r="B66" s="1"/>
      <c r="C66" s="1"/>
      <c r="D66" s="1"/>
      <c r="E66" s="12"/>
      <c r="F66" s="1"/>
      <c r="G66" s="1"/>
      <c r="H66" s="1"/>
    </row>
    <row r="67" spans="1:8" x14ac:dyDescent="0.2">
      <c r="A67" s="13" t="s">
        <v>72</v>
      </c>
      <c r="B67" s="13" t="s">
        <v>5</v>
      </c>
      <c r="C67" s="13" t="s">
        <v>73</v>
      </c>
      <c r="D67" s="13" t="s">
        <v>74</v>
      </c>
      <c r="E67" s="13" t="s">
        <v>6</v>
      </c>
      <c r="F67" s="14" t="s">
        <v>7</v>
      </c>
      <c r="G67" s="14" t="s">
        <v>8</v>
      </c>
      <c r="H67" s="1"/>
    </row>
    <row r="68" spans="1:8" x14ac:dyDescent="0.2">
      <c r="A68" s="5" t="s">
        <v>75</v>
      </c>
      <c r="B68" s="6" t="s">
        <v>10</v>
      </c>
      <c r="C68" s="6">
        <v>1</v>
      </c>
      <c r="D68" s="15">
        <v>60</v>
      </c>
      <c r="E68" s="16">
        <f t="shared" ref="E68:E77" si="5">12/D68*C68</f>
        <v>0.2</v>
      </c>
      <c r="F68" s="7">
        <v>856.5</v>
      </c>
      <c r="G68" s="7">
        <f t="shared" ref="G68:G77" si="6">E68*F68</f>
        <v>171.3</v>
      </c>
      <c r="H68" s="1"/>
    </row>
    <row r="69" spans="1:8" x14ac:dyDescent="0.2">
      <c r="A69" s="5" t="s">
        <v>76</v>
      </c>
      <c r="B69" s="6" t="s">
        <v>10</v>
      </c>
      <c r="C69" s="6">
        <v>1</v>
      </c>
      <c r="D69" s="15">
        <v>30</v>
      </c>
      <c r="E69" s="16">
        <f t="shared" si="5"/>
        <v>0.4</v>
      </c>
      <c r="F69" s="7">
        <v>659.85</v>
      </c>
      <c r="G69" s="7">
        <f t="shared" si="6"/>
        <v>263.94</v>
      </c>
      <c r="H69" s="1"/>
    </row>
    <row r="70" spans="1:8" x14ac:dyDescent="0.2">
      <c r="A70" s="5" t="s">
        <v>77</v>
      </c>
      <c r="B70" s="6" t="s">
        <v>10</v>
      </c>
      <c r="C70" s="6">
        <v>1</v>
      </c>
      <c r="D70" s="15">
        <v>24</v>
      </c>
      <c r="E70" s="16">
        <f t="shared" si="5"/>
        <v>0.5</v>
      </c>
      <c r="F70" s="7">
        <v>425.12</v>
      </c>
      <c r="G70" s="7">
        <f t="shared" si="6"/>
        <v>212.56</v>
      </c>
      <c r="H70" s="1"/>
    </row>
    <row r="71" spans="1:8" x14ac:dyDescent="0.2">
      <c r="A71" s="5" t="s">
        <v>78</v>
      </c>
      <c r="B71" s="6" t="s">
        <v>10</v>
      </c>
      <c r="C71" s="6">
        <v>1</v>
      </c>
      <c r="D71" s="15">
        <v>24</v>
      </c>
      <c r="E71" s="16">
        <f t="shared" si="5"/>
        <v>0.5</v>
      </c>
      <c r="F71" s="7">
        <v>336.35</v>
      </c>
      <c r="G71" s="7">
        <f t="shared" si="6"/>
        <v>168.17500000000001</v>
      </c>
      <c r="H71" s="1"/>
    </row>
    <row r="72" spans="1:8" x14ac:dyDescent="0.2">
      <c r="A72" s="5" t="s">
        <v>79</v>
      </c>
      <c r="B72" s="6" t="s">
        <v>10</v>
      </c>
      <c r="C72" s="6">
        <v>1</v>
      </c>
      <c r="D72" s="15">
        <v>30</v>
      </c>
      <c r="E72" s="16">
        <f t="shared" si="5"/>
        <v>0.4</v>
      </c>
      <c r="F72" s="7">
        <v>906</v>
      </c>
      <c r="G72" s="7">
        <f t="shared" si="6"/>
        <v>362.40000000000003</v>
      </c>
      <c r="H72" s="1"/>
    </row>
    <row r="73" spans="1:8" x14ac:dyDescent="0.2">
      <c r="A73" s="5" t="s">
        <v>80</v>
      </c>
      <c r="B73" s="6" t="s">
        <v>10</v>
      </c>
      <c r="C73" s="6">
        <v>1</v>
      </c>
      <c r="D73" s="15">
        <v>24</v>
      </c>
      <c r="E73" s="16">
        <f t="shared" si="5"/>
        <v>0.5</v>
      </c>
      <c r="F73" s="7">
        <v>375.34</v>
      </c>
      <c r="G73" s="7">
        <f t="shared" si="6"/>
        <v>187.67</v>
      </c>
      <c r="H73" s="1"/>
    </row>
    <row r="74" spans="1:8" x14ac:dyDescent="0.2">
      <c r="A74" s="5" t="s">
        <v>81</v>
      </c>
      <c r="B74" s="6" t="s">
        <v>10</v>
      </c>
      <c r="C74" s="6">
        <v>1</v>
      </c>
      <c r="D74" s="15">
        <v>30</v>
      </c>
      <c r="E74" s="16">
        <f t="shared" si="5"/>
        <v>0.4</v>
      </c>
      <c r="F74" s="7">
        <v>471.3</v>
      </c>
      <c r="G74" s="7">
        <f t="shared" si="6"/>
        <v>188.52</v>
      </c>
      <c r="H74" s="1"/>
    </row>
    <row r="75" spans="1:8" x14ac:dyDescent="0.2">
      <c r="A75" s="35" t="s">
        <v>170</v>
      </c>
      <c r="B75" s="42" t="s">
        <v>10</v>
      </c>
      <c r="C75" s="42">
        <v>1</v>
      </c>
      <c r="D75" s="63">
        <v>30</v>
      </c>
      <c r="E75" s="64">
        <f t="shared" si="5"/>
        <v>0.4</v>
      </c>
      <c r="F75" s="65">
        <v>569.83000000000004</v>
      </c>
      <c r="G75" s="65">
        <f t="shared" si="6"/>
        <v>227.93200000000002</v>
      </c>
      <c r="H75" s="1"/>
    </row>
    <row r="76" spans="1:8" x14ac:dyDescent="0.2">
      <c r="A76" s="5" t="s">
        <v>171</v>
      </c>
      <c r="B76" s="18" t="s">
        <v>10</v>
      </c>
      <c r="C76" s="18">
        <v>1</v>
      </c>
      <c r="D76" s="66">
        <v>30</v>
      </c>
      <c r="E76" s="67">
        <f t="shared" si="5"/>
        <v>0.4</v>
      </c>
      <c r="F76" s="20">
        <v>505.23</v>
      </c>
      <c r="G76" s="20">
        <f t="shared" si="6"/>
        <v>202.09200000000001</v>
      </c>
      <c r="H76" s="1"/>
    </row>
    <row r="77" spans="1:8" x14ac:dyDescent="0.2">
      <c r="A77" s="5" t="s">
        <v>172</v>
      </c>
      <c r="B77" s="18" t="s">
        <v>10</v>
      </c>
      <c r="C77" s="18">
        <v>1</v>
      </c>
      <c r="D77" s="66">
        <v>30</v>
      </c>
      <c r="E77" s="67">
        <f t="shared" si="5"/>
        <v>0.4</v>
      </c>
      <c r="F77" s="20">
        <v>540.74</v>
      </c>
      <c r="G77" s="20">
        <f t="shared" si="6"/>
        <v>216.29600000000002</v>
      </c>
      <c r="H77" s="1"/>
    </row>
    <row r="78" spans="1:8" x14ac:dyDescent="0.2">
      <c r="A78" s="185" t="s">
        <v>82</v>
      </c>
      <c r="B78" s="186"/>
      <c r="C78" s="186"/>
      <c r="D78" s="186"/>
      <c r="E78" s="186"/>
      <c r="F78" s="187"/>
      <c r="G78" s="17">
        <f>SUM(G68:G77)</f>
        <v>2200.8850000000002</v>
      </c>
      <c r="H78" s="1"/>
    </row>
    <row r="79" spans="1:8" x14ac:dyDescent="0.2">
      <c r="A79" s="185" t="s">
        <v>83</v>
      </c>
      <c r="B79" s="186"/>
      <c r="C79" s="186"/>
      <c r="D79" s="186"/>
      <c r="E79" s="186"/>
      <c r="F79" s="187"/>
      <c r="G79" s="17">
        <f>G78/12</f>
        <v>183.40708333333336</v>
      </c>
      <c r="H79" s="1"/>
    </row>
    <row r="80" spans="1:8" x14ac:dyDescent="0.2">
      <c r="A80" s="1"/>
      <c r="B80" s="1"/>
      <c r="C80" s="1"/>
      <c r="D80" s="1"/>
      <c r="E80" s="12"/>
      <c r="F80" s="12"/>
      <c r="G80" s="1"/>
      <c r="H80" s="1"/>
    </row>
    <row r="81" spans="1:8" x14ac:dyDescent="0.2">
      <c r="A81" s="13" t="s">
        <v>84</v>
      </c>
      <c r="B81" s="13" t="s">
        <v>5</v>
      </c>
      <c r="C81" s="13" t="s">
        <v>6</v>
      </c>
      <c r="D81" s="14" t="s">
        <v>7</v>
      </c>
      <c r="E81" s="14" t="s">
        <v>8</v>
      </c>
      <c r="F81" s="1"/>
      <c r="G81" s="1"/>
      <c r="H81" s="1"/>
    </row>
    <row r="82" spans="1:8" x14ac:dyDescent="0.2">
      <c r="A82" s="5" t="s">
        <v>85</v>
      </c>
      <c r="B82" s="18" t="s">
        <v>86</v>
      </c>
      <c r="C82" s="19">
        <v>4</v>
      </c>
      <c r="D82" s="20">
        <v>161.66999999999999</v>
      </c>
      <c r="E82" s="68">
        <f t="shared" ref="E82:E99" si="7">C82*D82</f>
        <v>646.67999999999995</v>
      </c>
      <c r="F82" s="69"/>
      <c r="G82" s="1"/>
      <c r="H82" s="1"/>
    </row>
    <row r="83" spans="1:8" x14ac:dyDescent="0.2">
      <c r="A83" s="5" t="s">
        <v>87</v>
      </c>
      <c r="B83" s="18" t="s">
        <v>10</v>
      </c>
      <c r="C83" s="19">
        <v>4</v>
      </c>
      <c r="D83" s="20">
        <v>81.319999999999993</v>
      </c>
      <c r="E83" s="68">
        <f t="shared" si="7"/>
        <v>325.27999999999997</v>
      </c>
      <c r="F83" s="69"/>
      <c r="G83" s="1"/>
      <c r="H83" s="1"/>
    </row>
    <row r="84" spans="1:8" x14ac:dyDescent="0.2">
      <c r="A84" s="5" t="s">
        <v>88</v>
      </c>
      <c r="B84" s="18" t="s">
        <v>10</v>
      </c>
      <c r="C84" s="19">
        <v>10</v>
      </c>
      <c r="D84" s="20">
        <v>24.51</v>
      </c>
      <c r="E84" s="68">
        <f t="shared" si="7"/>
        <v>245.10000000000002</v>
      </c>
      <c r="F84" s="69"/>
      <c r="G84" s="1"/>
      <c r="H84" s="1"/>
    </row>
    <row r="85" spans="1:8" x14ac:dyDescent="0.2">
      <c r="A85" s="5" t="s">
        <v>89</v>
      </c>
      <c r="B85" s="18" t="s">
        <v>10</v>
      </c>
      <c r="C85" s="19">
        <v>6</v>
      </c>
      <c r="D85" s="20">
        <v>26.6</v>
      </c>
      <c r="E85" s="68">
        <f t="shared" si="7"/>
        <v>159.60000000000002</v>
      </c>
      <c r="F85" s="69"/>
      <c r="G85" s="1"/>
      <c r="H85" s="1"/>
    </row>
    <row r="86" spans="1:8" x14ac:dyDescent="0.2">
      <c r="A86" s="5" t="s">
        <v>90</v>
      </c>
      <c r="B86" s="18" t="s">
        <v>10</v>
      </c>
      <c r="C86" s="18">
        <v>3</v>
      </c>
      <c r="D86" s="20">
        <v>173</v>
      </c>
      <c r="E86" s="68">
        <f t="shared" si="7"/>
        <v>519</v>
      </c>
      <c r="F86" s="69"/>
      <c r="G86" s="1"/>
      <c r="H86" s="1"/>
    </row>
    <row r="87" spans="1:8" x14ac:dyDescent="0.2">
      <c r="A87" s="5" t="s">
        <v>91</v>
      </c>
      <c r="B87" s="18" t="s">
        <v>10</v>
      </c>
      <c r="C87" s="18">
        <v>1</v>
      </c>
      <c r="D87" s="20">
        <v>250.65</v>
      </c>
      <c r="E87" s="68">
        <f t="shared" si="7"/>
        <v>250.65</v>
      </c>
      <c r="F87" s="69"/>
      <c r="G87" s="1"/>
      <c r="H87" s="1"/>
    </row>
    <row r="88" spans="1:8" x14ac:dyDescent="0.2">
      <c r="A88" s="5" t="s">
        <v>92</v>
      </c>
      <c r="B88" s="18" t="s">
        <v>10</v>
      </c>
      <c r="C88" s="18">
        <v>1</v>
      </c>
      <c r="D88" s="20">
        <v>164.41</v>
      </c>
      <c r="E88" s="68">
        <f t="shared" si="7"/>
        <v>164.41</v>
      </c>
      <c r="F88" s="69"/>
      <c r="G88" s="1"/>
      <c r="H88" s="1"/>
    </row>
    <row r="89" spans="1:8" x14ac:dyDescent="0.2">
      <c r="A89" s="5" t="s">
        <v>93</v>
      </c>
      <c r="B89" s="18" t="s">
        <v>10</v>
      </c>
      <c r="C89" s="18">
        <v>1</v>
      </c>
      <c r="D89" s="20">
        <v>30.07</v>
      </c>
      <c r="E89" s="68">
        <f t="shared" si="7"/>
        <v>30.07</v>
      </c>
      <c r="F89" s="69"/>
      <c r="G89" s="1"/>
      <c r="H89" s="1"/>
    </row>
    <row r="90" spans="1:8" x14ac:dyDescent="0.2">
      <c r="A90" s="5" t="s">
        <v>94</v>
      </c>
      <c r="B90" s="18" t="s">
        <v>10</v>
      </c>
      <c r="C90" s="18">
        <v>1</v>
      </c>
      <c r="D90" s="20">
        <v>58.37</v>
      </c>
      <c r="E90" s="68">
        <f t="shared" si="7"/>
        <v>58.37</v>
      </c>
      <c r="F90" s="69"/>
      <c r="G90" s="1"/>
      <c r="H90" s="1"/>
    </row>
    <row r="91" spans="1:8" x14ac:dyDescent="0.2">
      <c r="A91" s="5" t="s">
        <v>95</v>
      </c>
      <c r="B91" s="18" t="s">
        <v>10</v>
      </c>
      <c r="C91" s="18">
        <v>2</v>
      </c>
      <c r="D91" s="20">
        <v>9.1999999999999993</v>
      </c>
      <c r="E91" s="68">
        <f t="shared" si="7"/>
        <v>18.399999999999999</v>
      </c>
      <c r="F91" s="69"/>
      <c r="G91" s="1"/>
      <c r="H91" s="1"/>
    </row>
    <row r="92" spans="1:8" x14ac:dyDescent="0.2">
      <c r="A92" s="5" t="s">
        <v>96</v>
      </c>
      <c r="B92" s="18" t="s">
        <v>10</v>
      </c>
      <c r="C92" s="18">
        <v>1</v>
      </c>
      <c r="D92" s="20">
        <v>19.989999999999998</v>
      </c>
      <c r="E92" s="68">
        <f t="shared" si="7"/>
        <v>19.989999999999998</v>
      </c>
      <c r="F92" s="69"/>
      <c r="G92" s="1"/>
      <c r="H92" s="1"/>
    </row>
    <row r="93" spans="1:8" x14ac:dyDescent="0.2">
      <c r="A93" s="5" t="s">
        <v>97</v>
      </c>
      <c r="B93" s="18" t="s">
        <v>10</v>
      </c>
      <c r="C93" s="18">
        <v>4</v>
      </c>
      <c r="D93" s="20">
        <v>28.61</v>
      </c>
      <c r="E93" s="68">
        <f t="shared" si="7"/>
        <v>114.44</v>
      </c>
      <c r="F93" s="69"/>
      <c r="G93" s="1"/>
      <c r="H93" s="1"/>
    </row>
    <row r="94" spans="1:8" x14ac:dyDescent="0.2">
      <c r="A94" s="21" t="s">
        <v>98</v>
      </c>
      <c r="B94" s="18" t="s">
        <v>10</v>
      </c>
      <c r="C94" s="22">
        <v>12</v>
      </c>
      <c r="D94" s="20">
        <v>15.14</v>
      </c>
      <c r="E94" s="68">
        <f t="shared" si="7"/>
        <v>181.68</v>
      </c>
      <c r="F94" s="69"/>
      <c r="G94" s="23"/>
      <c r="H94" s="1"/>
    </row>
    <row r="95" spans="1:8" x14ac:dyDescent="0.2">
      <c r="A95" s="5" t="s">
        <v>99</v>
      </c>
      <c r="B95" s="18" t="s">
        <v>10</v>
      </c>
      <c r="C95" s="18">
        <v>4</v>
      </c>
      <c r="D95" s="20">
        <v>36.04</v>
      </c>
      <c r="E95" s="68">
        <f t="shared" si="7"/>
        <v>144.16</v>
      </c>
      <c r="F95" s="69"/>
      <c r="G95" s="1"/>
      <c r="H95" s="1"/>
    </row>
    <row r="96" spans="1:8" x14ac:dyDescent="0.2">
      <c r="A96" s="5" t="s">
        <v>100</v>
      </c>
      <c r="B96" s="18" t="s">
        <v>10</v>
      </c>
      <c r="C96" s="18">
        <v>2</v>
      </c>
      <c r="D96" s="20">
        <v>57.76</v>
      </c>
      <c r="E96" s="68">
        <f t="shared" si="7"/>
        <v>115.52</v>
      </c>
      <c r="F96" s="69"/>
      <c r="G96" s="1"/>
      <c r="H96" s="1"/>
    </row>
    <row r="97" spans="1:8" x14ac:dyDescent="0.2">
      <c r="A97" s="5" t="s">
        <v>101</v>
      </c>
      <c r="B97" s="18" t="s">
        <v>10</v>
      </c>
      <c r="C97" s="18">
        <v>2</v>
      </c>
      <c r="D97" s="20">
        <v>132.79</v>
      </c>
      <c r="E97" s="68">
        <f t="shared" si="7"/>
        <v>265.58</v>
      </c>
      <c r="F97" s="69"/>
      <c r="G97" s="1"/>
      <c r="H97" s="1"/>
    </row>
    <row r="98" spans="1:8" x14ac:dyDescent="0.2">
      <c r="A98" s="5" t="s">
        <v>102</v>
      </c>
      <c r="B98" s="18" t="s">
        <v>86</v>
      </c>
      <c r="C98" s="18">
        <v>2</v>
      </c>
      <c r="D98" s="20">
        <v>6.91</v>
      </c>
      <c r="E98" s="68">
        <f t="shared" si="7"/>
        <v>13.82</v>
      </c>
      <c r="F98" s="69"/>
      <c r="G98" s="1"/>
      <c r="H98" s="1"/>
    </row>
    <row r="99" spans="1:8" x14ac:dyDescent="0.2">
      <c r="A99" s="5" t="s">
        <v>103</v>
      </c>
      <c r="B99" s="18" t="s">
        <v>86</v>
      </c>
      <c r="C99" s="18">
        <v>2</v>
      </c>
      <c r="D99" s="20">
        <v>6.08</v>
      </c>
      <c r="E99" s="68">
        <f t="shared" si="7"/>
        <v>12.16</v>
      </c>
      <c r="F99" s="69"/>
      <c r="G99" s="1"/>
      <c r="H99" s="1"/>
    </row>
    <row r="100" spans="1:8" x14ac:dyDescent="0.2">
      <c r="A100" s="185" t="s">
        <v>104</v>
      </c>
      <c r="B100" s="186"/>
      <c r="C100" s="186"/>
      <c r="D100" s="187"/>
      <c r="E100" s="70">
        <f>SUM(E82:E99)</f>
        <v>3284.9099999999994</v>
      </c>
      <c r="F100" s="1"/>
      <c r="G100" s="1"/>
      <c r="H100" s="1"/>
    </row>
    <row r="101" spans="1:8" x14ac:dyDescent="0.2">
      <c r="A101" s="185" t="s">
        <v>105</v>
      </c>
      <c r="B101" s="186"/>
      <c r="C101" s="186"/>
      <c r="D101" s="187"/>
      <c r="E101" s="17">
        <f>E100/12</f>
        <v>273.74249999999995</v>
      </c>
      <c r="F101" s="12"/>
      <c r="G101" s="1"/>
      <c r="H101" s="1"/>
    </row>
    <row r="104" spans="1:8" ht="15" customHeight="1" x14ac:dyDescent="0.25">
      <c r="A104" s="188" t="s">
        <v>106</v>
      </c>
      <c r="B104" s="184"/>
      <c r="C104" s="184"/>
      <c r="D104" s="184"/>
      <c r="E104" s="171"/>
    </row>
    <row r="105" spans="1:8" x14ac:dyDescent="0.2">
      <c r="A105" s="13" t="s">
        <v>84</v>
      </c>
      <c r="B105" s="24" t="s">
        <v>5</v>
      </c>
      <c r="C105" s="24" t="s">
        <v>6</v>
      </c>
      <c r="D105" s="25" t="s">
        <v>7</v>
      </c>
      <c r="E105" s="25" t="s">
        <v>8</v>
      </c>
    </row>
    <row r="106" spans="1:8" x14ac:dyDescent="0.2">
      <c r="A106" s="26" t="s">
        <v>85</v>
      </c>
      <c r="B106" s="18" t="s">
        <v>86</v>
      </c>
      <c r="C106" s="71">
        <v>4</v>
      </c>
      <c r="D106" s="20">
        <v>161.66999999999999</v>
      </c>
      <c r="E106" s="20">
        <f t="shared" ref="E106:E118" si="8">C106*D106</f>
        <v>646.67999999999995</v>
      </c>
    </row>
    <row r="107" spans="1:8" x14ac:dyDescent="0.2">
      <c r="A107" s="26" t="s">
        <v>87</v>
      </c>
      <c r="B107" s="18" t="s">
        <v>10</v>
      </c>
      <c r="C107" s="72">
        <v>4</v>
      </c>
      <c r="D107" s="20">
        <v>81.319999999999993</v>
      </c>
      <c r="E107" s="20">
        <f t="shared" si="8"/>
        <v>325.27999999999997</v>
      </c>
    </row>
    <row r="108" spans="1:8" x14ac:dyDescent="0.2">
      <c r="A108" s="26" t="s">
        <v>88</v>
      </c>
      <c r="B108" s="18" t="s">
        <v>10</v>
      </c>
      <c r="C108" s="72">
        <v>10</v>
      </c>
      <c r="D108" s="20">
        <v>24.51</v>
      </c>
      <c r="E108" s="20">
        <f t="shared" si="8"/>
        <v>245.10000000000002</v>
      </c>
    </row>
    <row r="109" spans="1:8" x14ac:dyDescent="0.2">
      <c r="A109" s="26" t="s">
        <v>89</v>
      </c>
      <c r="B109" s="18" t="s">
        <v>10</v>
      </c>
      <c r="C109" s="72">
        <v>6</v>
      </c>
      <c r="D109" s="20">
        <v>26.6</v>
      </c>
      <c r="E109" s="20">
        <f t="shared" si="8"/>
        <v>159.60000000000002</v>
      </c>
    </row>
    <row r="110" spans="1:8" x14ac:dyDescent="0.2">
      <c r="A110" s="26" t="s">
        <v>94</v>
      </c>
      <c r="B110" s="18" t="s">
        <v>10</v>
      </c>
      <c r="C110" s="72">
        <v>1</v>
      </c>
      <c r="D110" s="20">
        <v>58.37</v>
      </c>
      <c r="E110" s="20">
        <f t="shared" si="8"/>
        <v>58.37</v>
      </c>
    </row>
    <row r="111" spans="1:8" x14ac:dyDescent="0.2">
      <c r="A111" s="26" t="s">
        <v>95</v>
      </c>
      <c r="B111" s="18" t="s">
        <v>10</v>
      </c>
      <c r="C111" s="72">
        <v>2</v>
      </c>
      <c r="D111" s="20">
        <v>9.1999999999999993</v>
      </c>
      <c r="E111" s="20">
        <f t="shared" si="8"/>
        <v>18.399999999999999</v>
      </c>
    </row>
    <row r="112" spans="1:8" x14ac:dyDescent="0.2">
      <c r="A112" s="26" t="s">
        <v>96</v>
      </c>
      <c r="B112" s="18" t="s">
        <v>10</v>
      </c>
      <c r="C112" s="72">
        <v>1</v>
      </c>
      <c r="D112" s="20">
        <v>19.989999999999998</v>
      </c>
      <c r="E112" s="20">
        <f t="shared" si="8"/>
        <v>19.989999999999998</v>
      </c>
    </row>
    <row r="113" spans="1:6" x14ac:dyDescent="0.2">
      <c r="A113" s="26" t="s">
        <v>99</v>
      </c>
      <c r="B113" s="18" t="s">
        <v>10</v>
      </c>
      <c r="C113" s="72">
        <v>4</v>
      </c>
      <c r="D113" s="20">
        <v>36.04</v>
      </c>
      <c r="E113" s="20">
        <f t="shared" si="8"/>
        <v>144.16</v>
      </c>
    </row>
    <row r="114" spans="1:6" x14ac:dyDescent="0.2">
      <c r="A114" s="27" t="s">
        <v>98</v>
      </c>
      <c r="B114" s="18" t="s">
        <v>10</v>
      </c>
      <c r="C114" s="72">
        <v>12</v>
      </c>
      <c r="D114" s="20">
        <v>15.14</v>
      </c>
      <c r="E114" s="20">
        <f t="shared" si="8"/>
        <v>181.68</v>
      </c>
    </row>
    <row r="115" spans="1:6" x14ac:dyDescent="0.2">
      <c r="A115" s="26" t="s">
        <v>100</v>
      </c>
      <c r="B115" s="18" t="s">
        <v>10</v>
      </c>
      <c r="C115" s="72">
        <v>2</v>
      </c>
      <c r="D115" s="20">
        <v>57.76</v>
      </c>
      <c r="E115" s="20">
        <f t="shared" si="8"/>
        <v>115.52</v>
      </c>
    </row>
    <row r="116" spans="1:6" x14ac:dyDescent="0.2">
      <c r="A116" s="26" t="s">
        <v>101</v>
      </c>
      <c r="B116" s="18" t="s">
        <v>10</v>
      </c>
      <c r="C116" s="72">
        <v>2</v>
      </c>
      <c r="D116" s="20">
        <v>132.79</v>
      </c>
      <c r="E116" s="20">
        <f t="shared" si="8"/>
        <v>265.58</v>
      </c>
    </row>
    <row r="117" spans="1:6" x14ac:dyDescent="0.2">
      <c r="A117" s="26" t="s">
        <v>102</v>
      </c>
      <c r="B117" s="18" t="s">
        <v>86</v>
      </c>
      <c r="C117" s="72">
        <v>2</v>
      </c>
      <c r="D117" s="20">
        <v>6.91</v>
      </c>
      <c r="E117" s="20">
        <f t="shared" si="8"/>
        <v>13.82</v>
      </c>
    </row>
    <row r="118" spans="1:6" x14ac:dyDescent="0.2">
      <c r="A118" s="26" t="s">
        <v>103</v>
      </c>
      <c r="B118" s="18" t="s">
        <v>86</v>
      </c>
      <c r="C118" s="72">
        <v>2</v>
      </c>
      <c r="D118" s="20">
        <v>6.08</v>
      </c>
      <c r="E118" s="20">
        <f t="shared" si="8"/>
        <v>12.16</v>
      </c>
    </row>
    <row r="119" spans="1:6" x14ac:dyDescent="0.2">
      <c r="A119" s="185" t="s">
        <v>104</v>
      </c>
      <c r="B119" s="186"/>
      <c r="C119" s="186"/>
      <c r="D119" s="187"/>
      <c r="E119" s="17">
        <f>SUM(E106:E118)</f>
        <v>2206.34</v>
      </c>
    </row>
    <row r="120" spans="1:6" x14ac:dyDescent="0.2">
      <c r="A120" s="185" t="s">
        <v>105</v>
      </c>
      <c r="B120" s="186"/>
      <c r="C120" s="186"/>
      <c r="D120" s="187"/>
      <c r="E120" s="17">
        <f>E119/12</f>
        <v>183.86166666666668</v>
      </c>
    </row>
    <row r="122" spans="1:6" x14ac:dyDescent="0.2">
      <c r="A122" s="183" t="s">
        <v>107</v>
      </c>
      <c r="B122" s="184"/>
      <c r="C122" s="184"/>
      <c r="D122" s="184"/>
      <c r="E122" s="171"/>
    </row>
    <row r="123" spans="1:6" x14ac:dyDescent="0.2">
      <c r="A123" s="2" t="s">
        <v>4</v>
      </c>
      <c r="B123" s="3" t="s">
        <v>5</v>
      </c>
      <c r="C123" s="3" t="s">
        <v>6</v>
      </c>
      <c r="D123" s="4" t="s">
        <v>7</v>
      </c>
      <c r="E123" s="4" t="s">
        <v>8</v>
      </c>
      <c r="F123" s="1"/>
    </row>
    <row r="124" spans="1:6" x14ac:dyDescent="0.2">
      <c r="A124" s="41" t="s">
        <v>108</v>
      </c>
      <c r="B124" s="42" t="s">
        <v>10</v>
      </c>
      <c r="C124" s="42">
        <v>1</v>
      </c>
      <c r="D124" s="73">
        <v>34.76</v>
      </c>
      <c r="E124" s="65">
        <f t="shared" ref="E124:E147" si="9">C124*D124</f>
        <v>34.76</v>
      </c>
      <c r="F124" s="1"/>
    </row>
    <row r="125" spans="1:6" x14ac:dyDescent="0.2">
      <c r="A125" s="29" t="s">
        <v>109</v>
      </c>
      <c r="B125" s="18" t="s">
        <v>10</v>
      </c>
      <c r="C125" s="18">
        <v>1</v>
      </c>
      <c r="D125" s="30">
        <v>62.53</v>
      </c>
      <c r="E125" s="20">
        <f t="shared" si="9"/>
        <v>62.53</v>
      </c>
      <c r="F125" s="1"/>
    </row>
    <row r="126" spans="1:6" x14ac:dyDescent="0.2">
      <c r="A126" s="29" t="s">
        <v>110</v>
      </c>
      <c r="B126" s="18" t="s">
        <v>10</v>
      </c>
      <c r="C126" s="18">
        <v>1</v>
      </c>
      <c r="D126" s="30">
        <v>40.64</v>
      </c>
      <c r="E126" s="20">
        <f t="shared" si="9"/>
        <v>40.64</v>
      </c>
      <c r="F126" s="1"/>
    </row>
    <row r="127" spans="1:6" x14ac:dyDescent="0.2">
      <c r="A127" s="29" t="s">
        <v>111</v>
      </c>
      <c r="B127" s="18" t="s">
        <v>10</v>
      </c>
      <c r="C127" s="18">
        <v>1</v>
      </c>
      <c r="D127" s="30">
        <v>48.18</v>
      </c>
      <c r="E127" s="20">
        <f t="shared" si="9"/>
        <v>48.18</v>
      </c>
      <c r="F127" s="1"/>
    </row>
    <row r="128" spans="1:6" x14ac:dyDescent="0.2">
      <c r="A128" s="29" t="s">
        <v>112</v>
      </c>
      <c r="B128" s="18" t="s">
        <v>10</v>
      </c>
      <c r="C128" s="18">
        <v>1</v>
      </c>
      <c r="D128" s="30">
        <v>43.12</v>
      </c>
      <c r="E128" s="20">
        <f t="shared" si="9"/>
        <v>43.12</v>
      </c>
      <c r="F128" s="1"/>
    </row>
    <row r="129" spans="1:6" x14ac:dyDescent="0.2">
      <c r="A129" s="29" t="s">
        <v>113</v>
      </c>
      <c r="B129" s="18" t="s">
        <v>10</v>
      </c>
      <c r="C129" s="18">
        <v>1</v>
      </c>
      <c r="D129" s="30">
        <v>35.369999999999997</v>
      </c>
      <c r="E129" s="20">
        <f t="shared" si="9"/>
        <v>35.369999999999997</v>
      </c>
      <c r="F129" s="1"/>
    </row>
    <row r="130" spans="1:6" x14ac:dyDescent="0.2">
      <c r="A130" s="29" t="s">
        <v>114</v>
      </c>
      <c r="B130" s="18" t="s">
        <v>10</v>
      </c>
      <c r="C130" s="18">
        <v>1</v>
      </c>
      <c r="D130" s="30">
        <v>59.65</v>
      </c>
      <c r="E130" s="20">
        <f t="shared" si="9"/>
        <v>59.65</v>
      </c>
      <c r="F130" s="1"/>
    </row>
    <row r="131" spans="1:6" x14ac:dyDescent="0.2">
      <c r="A131" s="29" t="s">
        <v>115</v>
      </c>
      <c r="B131" s="18" t="s">
        <v>10</v>
      </c>
      <c r="C131" s="18">
        <v>2</v>
      </c>
      <c r="D131" s="30">
        <v>156.30000000000001</v>
      </c>
      <c r="E131" s="20">
        <f t="shared" si="9"/>
        <v>312.60000000000002</v>
      </c>
      <c r="F131" s="1"/>
    </row>
    <row r="132" spans="1:6" x14ac:dyDescent="0.2">
      <c r="A132" s="29" t="s">
        <v>116</v>
      </c>
      <c r="B132" s="18" t="s">
        <v>10</v>
      </c>
      <c r="C132" s="18">
        <v>1</v>
      </c>
      <c r="D132" s="30">
        <v>45.02</v>
      </c>
      <c r="E132" s="20">
        <f t="shared" si="9"/>
        <v>45.02</v>
      </c>
      <c r="F132" s="1"/>
    </row>
    <row r="133" spans="1:6" x14ac:dyDescent="0.2">
      <c r="A133" s="29" t="s">
        <v>117</v>
      </c>
      <c r="B133" s="18" t="s">
        <v>10</v>
      </c>
      <c r="C133" s="18">
        <v>1</v>
      </c>
      <c r="D133" s="30">
        <v>89.97</v>
      </c>
      <c r="E133" s="20">
        <f t="shared" si="9"/>
        <v>89.97</v>
      </c>
      <c r="F133" s="1"/>
    </row>
    <row r="134" spans="1:6" x14ac:dyDescent="0.2">
      <c r="A134" s="29" t="s">
        <v>118</v>
      </c>
      <c r="B134" s="18" t="s">
        <v>10</v>
      </c>
      <c r="C134" s="18">
        <v>1</v>
      </c>
      <c r="D134" s="30">
        <v>54.97</v>
      </c>
      <c r="E134" s="20">
        <f t="shared" si="9"/>
        <v>54.97</v>
      </c>
      <c r="F134" s="1"/>
    </row>
    <row r="135" spans="1:6" x14ac:dyDescent="0.2">
      <c r="A135" s="29" t="s">
        <v>42</v>
      </c>
      <c r="B135" s="18" t="s">
        <v>10</v>
      </c>
      <c r="C135" s="18">
        <v>1</v>
      </c>
      <c r="D135" s="30">
        <v>43.37</v>
      </c>
      <c r="E135" s="20">
        <f t="shared" si="9"/>
        <v>43.37</v>
      </c>
      <c r="F135" s="1"/>
    </row>
    <row r="136" spans="1:6" x14ac:dyDescent="0.2">
      <c r="A136" s="29" t="s">
        <v>119</v>
      </c>
      <c r="B136" s="18" t="s">
        <v>10</v>
      </c>
      <c r="C136" s="18">
        <v>1</v>
      </c>
      <c r="D136" s="30">
        <v>336.68</v>
      </c>
      <c r="E136" s="20">
        <f t="shared" si="9"/>
        <v>336.68</v>
      </c>
      <c r="F136" s="1"/>
    </row>
    <row r="137" spans="1:6" x14ac:dyDescent="0.2">
      <c r="A137" s="74" t="s">
        <v>120</v>
      </c>
      <c r="B137" s="6" t="s">
        <v>121</v>
      </c>
      <c r="C137" s="6">
        <v>12</v>
      </c>
      <c r="D137" s="31">
        <v>22.22</v>
      </c>
      <c r="E137" s="7">
        <f t="shared" si="9"/>
        <v>266.64</v>
      </c>
      <c r="F137" s="1"/>
    </row>
    <row r="138" spans="1:6" x14ac:dyDescent="0.2">
      <c r="A138" s="29" t="s">
        <v>122</v>
      </c>
      <c r="B138" s="18" t="s">
        <v>10</v>
      </c>
      <c r="C138" s="18">
        <v>1</v>
      </c>
      <c r="D138" s="30">
        <v>29.29</v>
      </c>
      <c r="E138" s="20">
        <f t="shared" si="9"/>
        <v>29.29</v>
      </c>
      <c r="F138" s="1"/>
    </row>
    <row r="139" spans="1:6" x14ac:dyDescent="0.2">
      <c r="A139" s="29" t="s">
        <v>123</v>
      </c>
      <c r="B139" s="18" t="s">
        <v>10</v>
      </c>
      <c r="C139" s="18">
        <v>1</v>
      </c>
      <c r="D139" s="30">
        <v>27.2</v>
      </c>
      <c r="E139" s="20">
        <f t="shared" si="9"/>
        <v>27.2</v>
      </c>
      <c r="F139" s="1"/>
    </row>
    <row r="140" spans="1:6" x14ac:dyDescent="0.2">
      <c r="A140" s="29" t="s">
        <v>124</v>
      </c>
      <c r="B140" s="18" t="s">
        <v>10</v>
      </c>
      <c r="C140" s="18">
        <v>1</v>
      </c>
      <c r="D140" s="30">
        <v>86.04</v>
      </c>
      <c r="E140" s="20">
        <f t="shared" si="9"/>
        <v>86.04</v>
      </c>
      <c r="F140" s="1"/>
    </row>
    <row r="141" spans="1:6" x14ac:dyDescent="0.2">
      <c r="A141" s="29" t="s">
        <v>125</v>
      </c>
      <c r="B141" s="18" t="s">
        <v>10</v>
      </c>
      <c r="C141" s="18">
        <v>1</v>
      </c>
      <c r="D141" s="30">
        <v>33.85</v>
      </c>
      <c r="E141" s="20">
        <f t="shared" si="9"/>
        <v>33.85</v>
      </c>
      <c r="F141" s="1"/>
    </row>
    <row r="142" spans="1:6" x14ac:dyDescent="0.2">
      <c r="A142" s="29" t="s">
        <v>126</v>
      </c>
      <c r="B142" s="18" t="s">
        <v>10</v>
      </c>
      <c r="C142" s="18">
        <v>1</v>
      </c>
      <c r="D142" s="30">
        <v>30.19</v>
      </c>
      <c r="E142" s="20">
        <f t="shared" si="9"/>
        <v>30.19</v>
      </c>
      <c r="F142" s="1"/>
    </row>
    <row r="143" spans="1:6" x14ac:dyDescent="0.2">
      <c r="A143" s="29" t="s">
        <v>127</v>
      </c>
      <c r="B143" s="18" t="s">
        <v>10</v>
      </c>
      <c r="C143" s="18">
        <v>36</v>
      </c>
      <c r="D143" s="30">
        <v>107.97</v>
      </c>
      <c r="E143" s="20">
        <f t="shared" si="9"/>
        <v>3886.92</v>
      </c>
      <c r="F143" s="1"/>
    </row>
    <row r="144" spans="1:6" x14ac:dyDescent="0.2">
      <c r="A144" s="29" t="s">
        <v>128</v>
      </c>
      <c r="B144" s="18" t="s">
        <v>10</v>
      </c>
      <c r="C144" s="18">
        <v>3</v>
      </c>
      <c r="D144" s="30">
        <v>52.34</v>
      </c>
      <c r="E144" s="20">
        <f t="shared" si="9"/>
        <v>157.02000000000001</v>
      </c>
      <c r="F144" s="1"/>
    </row>
    <row r="145" spans="1:7" x14ac:dyDescent="0.2">
      <c r="A145" s="29" t="s">
        <v>129</v>
      </c>
      <c r="B145" s="18" t="s">
        <v>10</v>
      </c>
      <c r="C145" s="18">
        <v>2</v>
      </c>
      <c r="D145" s="30">
        <v>17.3</v>
      </c>
      <c r="E145" s="20">
        <f t="shared" si="9"/>
        <v>34.6</v>
      </c>
      <c r="F145" s="1"/>
    </row>
    <row r="146" spans="1:7" x14ac:dyDescent="0.2">
      <c r="A146" s="29" t="s">
        <v>130</v>
      </c>
      <c r="B146" s="18" t="s">
        <v>10</v>
      </c>
      <c r="C146" s="18">
        <v>36</v>
      </c>
      <c r="D146" s="30">
        <v>75.97</v>
      </c>
      <c r="E146" s="20">
        <f t="shared" si="9"/>
        <v>2734.92</v>
      </c>
      <c r="F146" s="1"/>
    </row>
    <row r="147" spans="1:7" x14ac:dyDescent="0.2">
      <c r="A147" s="5" t="s">
        <v>131</v>
      </c>
      <c r="B147" s="18" t="s">
        <v>10</v>
      </c>
      <c r="C147" s="6">
        <v>3</v>
      </c>
      <c r="D147" s="31">
        <v>138.75</v>
      </c>
      <c r="E147" s="7">
        <f t="shared" si="9"/>
        <v>416.25</v>
      </c>
      <c r="F147" s="1"/>
    </row>
    <row r="148" spans="1:7" x14ac:dyDescent="0.2">
      <c r="A148" s="185" t="s">
        <v>62</v>
      </c>
      <c r="B148" s="186"/>
      <c r="C148" s="186"/>
      <c r="D148" s="187"/>
      <c r="E148" s="32">
        <f>SUM(E124:E147)</f>
        <v>8909.7800000000007</v>
      </c>
      <c r="F148" s="1"/>
    </row>
    <row r="149" spans="1:7" x14ac:dyDescent="0.2">
      <c r="A149" s="185" t="s">
        <v>63</v>
      </c>
      <c r="B149" s="186"/>
      <c r="C149" s="186"/>
      <c r="D149" s="187"/>
      <c r="E149" s="32">
        <f>E148/12</f>
        <v>742.48166666666668</v>
      </c>
      <c r="F149" s="1"/>
    </row>
    <row r="150" spans="1:7" x14ac:dyDescent="0.2">
      <c r="A150" s="10"/>
      <c r="B150" s="10"/>
      <c r="C150" s="10"/>
      <c r="D150" s="10"/>
      <c r="E150" s="33"/>
      <c r="F150" s="10"/>
    </row>
    <row r="151" spans="1:7" x14ac:dyDescent="0.2">
      <c r="A151" s="2" t="s">
        <v>132</v>
      </c>
      <c r="B151" s="3" t="s">
        <v>5</v>
      </c>
      <c r="C151" s="3" t="s">
        <v>133</v>
      </c>
      <c r="D151" s="3" t="s">
        <v>6</v>
      </c>
      <c r="E151" s="4" t="s">
        <v>7</v>
      </c>
      <c r="F151" s="4" t="s">
        <v>8</v>
      </c>
    </row>
    <row r="152" spans="1:7" x14ac:dyDescent="0.2">
      <c r="A152" s="29" t="s">
        <v>134</v>
      </c>
      <c r="B152" s="6" t="s">
        <v>135</v>
      </c>
      <c r="C152" s="34">
        <v>50</v>
      </c>
      <c r="D152" s="34">
        <f t="shared" ref="D152:D153" si="10">C152*12</f>
        <v>600</v>
      </c>
      <c r="E152" s="31">
        <v>5.68</v>
      </c>
      <c r="F152" s="31">
        <f t="shared" ref="F152:F153" si="11">D152*E152</f>
        <v>3408</v>
      </c>
    </row>
    <row r="153" spans="1:7" x14ac:dyDescent="0.2">
      <c r="A153" s="35" t="s">
        <v>136</v>
      </c>
      <c r="B153" s="36" t="s">
        <v>137</v>
      </c>
      <c r="C153" s="37">
        <v>4</v>
      </c>
      <c r="D153" s="37">
        <f t="shared" si="10"/>
        <v>48</v>
      </c>
      <c r="E153" s="38">
        <v>21.12</v>
      </c>
      <c r="F153" s="38">
        <f t="shared" si="11"/>
        <v>1013.76</v>
      </c>
    </row>
    <row r="154" spans="1:7" x14ac:dyDescent="0.2">
      <c r="A154" s="189" t="s">
        <v>138</v>
      </c>
      <c r="B154" s="184"/>
      <c r="C154" s="184"/>
      <c r="D154" s="184"/>
      <c r="E154" s="171"/>
      <c r="F154" s="39">
        <f>SUM(F152:F153)</f>
        <v>4421.76</v>
      </c>
    </row>
    <row r="155" spans="1:7" x14ac:dyDescent="0.2">
      <c r="A155" s="189" t="s">
        <v>139</v>
      </c>
      <c r="B155" s="184"/>
      <c r="C155" s="184"/>
      <c r="D155" s="184"/>
      <c r="E155" s="171"/>
      <c r="F155" s="40">
        <f>F154/12</f>
        <v>368.48</v>
      </c>
    </row>
    <row r="156" spans="1:7" x14ac:dyDescent="0.2">
      <c r="A156" s="1"/>
      <c r="B156" s="1"/>
      <c r="C156" s="1"/>
      <c r="D156" s="1"/>
      <c r="E156" s="12"/>
      <c r="F156" s="12"/>
    </row>
    <row r="157" spans="1:7" x14ac:dyDescent="0.2">
      <c r="A157" s="13" t="s">
        <v>72</v>
      </c>
      <c r="B157" s="13" t="s">
        <v>5</v>
      </c>
      <c r="C157" s="13" t="s">
        <v>73</v>
      </c>
      <c r="D157" s="13" t="s">
        <v>74</v>
      </c>
      <c r="E157" s="13" t="s">
        <v>6</v>
      </c>
      <c r="F157" s="14" t="s">
        <v>7</v>
      </c>
      <c r="G157" s="14" t="s">
        <v>8</v>
      </c>
    </row>
    <row r="158" spans="1:7" x14ac:dyDescent="0.2">
      <c r="A158" s="41" t="s">
        <v>140</v>
      </c>
      <c r="B158" s="42" t="s">
        <v>10</v>
      </c>
      <c r="C158" s="75">
        <v>1</v>
      </c>
      <c r="D158" s="76">
        <v>24</v>
      </c>
      <c r="E158" s="77">
        <f t="shared" ref="E158:E162" si="12">12/D158*C158</f>
        <v>0.5</v>
      </c>
      <c r="F158" s="46">
        <v>2379.04</v>
      </c>
      <c r="G158" s="46">
        <f t="shared" ref="G158:G162" si="13">E158*F158</f>
        <v>1189.52</v>
      </c>
    </row>
    <row r="159" spans="1:7" x14ac:dyDescent="0.2">
      <c r="A159" s="29" t="s">
        <v>141</v>
      </c>
      <c r="B159" s="18" t="s">
        <v>10</v>
      </c>
      <c r="C159" s="34">
        <v>1</v>
      </c>
      <c r="D159" s="78">
        <v>24</v>
      </c>
      <c r="E159" s="79">
        <f t="shared" si="12"/>
        <v>0.5</v>
      </c>
      <c r="F159" s="49">
        <v>896.68</v>
      </c>
      <c r="G159" s="49">
        <f t="shared" si="13"/>
        <v>448.34</v>
      </c>
    </row>
    <row r="160" spans="1:7" x14ac:dyDescent="0.2">
      <c r="A160" s="29" t="s">
        <v>142</v>
      </c>
      <c r="B160" s="18" t="s">
        <v>10</v>
      </c>
      <c r="C160" s="34">
        <v>1</v>
      </c>
      <c r="D160" s="78">
        <v>24</v>
      </c>
      <c r="E160" s="79">
        <f t="shared" si="12"/>
        <v>0.5</v>
      </c>
      <c r="F160" s="49">
        <v>495.97</v>
      </c>
      <c r="G160" s="49">
        <f t="shared" si="13"/>
        <v>247.98500000000001</v>
      </c>
    </row>
    <row r="161" spans="1:7" x14ac:dyDescent="0.2">
      <c r="A161" s="35" t="s">
        <v>173</v>
      </c>
      <c r="B161" s="42" t="s">
        <v>10</v>
      </c>
      <c r="C161" s="75">
        <v>1</v>
      </c>
      <c r="D161" s="76">
        <v>24</v>
      </c>
      <c r="E161" s="77">
        <f t="shared" si="12"/>
        <v>0.5</v>
      </c>
      <c r="F161" s="73">
        <v>2238.96</v>
      </c>
      <c r="G161" s="73">
        <f t="shared" si="13"/>
        <v>1119.48</v>
      </c>
    </row>
    <row r="162" spans="1:7" x14ac:dyDescent="0.2">
      <c r="A162" s="5" t="s">
        <v>174</v>
      </c>
      <c r="B162" s="6" t="s">
        <v>10</v>
      </c>
      <c r="C162" s="34">
        <v>2</v>
      </c>
      <c r="D162" s="78">
        <v>24</v>
      </c>
      <c r="E162" s="79">
        <f t="shared" si="12"/>
        <v>1</v>
      </c>
      <c r="F162" s="31">
        <v>1424.12</v>
      </c>
      <c r="G162" s="31">
        <f t="shared" si="13"/>
        <v>1424.12</v>
      </c>
    </row>
    <row r="163" spans="1:7" x14ac:dyDescent="0.2">
      <c r="A163" s="190" t="s">
        <v>82</v>
      </c>
      <c r="B163" s="186"/>
      <c r="C163" s="186"/>
      <c r="D163" s="186"/>
      <c r="E163" s="186"/>
      <c r="F163" s="187"/>
      <c r="G163" s="39">
        <f>SUM(G158:G162)</f>
        <v>4429.4449999999997</v>
      </c>
    </row>
    <row r="164" spans="1:7" x14ac:dyDescent="0.2">
      <c r="A164" s="190" t="s">
        <v>83</v>
      </c>
      <c r="B164" s="186"/>
      <c r="C164" s="186"/>
      <c r="D164" s="186"/>
      <c r="E164" s="186"/>
      <c r="F164" s="187"/>
      <c r="G164" s="40">
        <f>G163/12</f>
        <v>369.12041666666664</v>
      </c>
    </row>
    <row r="165" spans="1:7" x14ac:dyDescent="0.2">
      <c r="A165" s="1"/>
      <c r="B165" s="1"/>
      <c r="C165" s="1"/>
      <c r="D165" s="1"/>
      <c r="E165" s="12"/>
      <c r="F165" s="12"/>
    </row>
    <row r="166" spans="1:7" x14ac:dyDescent="0.2">
      <c r="A166" s="13" t="s">
        <v>84</v>
      </c>
      <c r="B166" s="13" t="s">
        <v>10</v>
      </c>
      <c r="C166" s="13" t="s">
        <v>143</v>
      </c>
      <c r="D166" s="14" t="s">
        <v>144</v>
      </c>
      <c r="E166" s="14" t="s">
        <v>145</v>
      </c>
      <c r="F166" s="1"/>
    </row>
    <row r="167" spans="1:7" x14ac:dyDescent="0.2">
      <c r="A167" s="29" t="s">
        <v>85</v>
      </c>
      <c r="B167" s="18" t="s">
        <v>86</v>
      </c>
      <c r="C167" s="22">
        <v>2</v>
      </c>
      <c r="D167" s="20">
        <v>161.66999999999999</v>
      </c>
      <c r="E167" s="20">
        <f t="shared" ref="E167:E183" si="14">C167*D167</f>
        <v>323.33999999999997</v>
      </c>
      <c r="F167" s="1"/>
    </row>
    <row r="168" spans="1:7" x14ac:dyDescent="0.2">
      <c r="A168" s="29" t="s">
        <v>146</v>
      </c>
      <c r="B168" s="18" t="s">
        <v>10</v>
      </c>
      <c r="C168" s="22">
        <v>3</v>
      </c>
      <c r="D168" s="20">
        <v>81.319999999999993</v>
      </c>
      <c r="E168" s="20">
        <f t="shared" si="14"/>
        <v>243.95999999999998</v>
      </c>
      <c r="F168" s="1"/>
    </row>
    <row r="169" spans="1:7" x14ac:dyDescent="0.2">
      <c r="A169" s="29" t="s">
        <v>88</v>
      </c>
      <c r="B169" s="18" t="s">
        <v>10</v>
      </c>
      <c r="C169" s="22">
        <v>3</v>
      </c>
      <c r="D169" s="20">
        <v>24.51</v>
      </c>
      <c r="E169" s="20">
        <f t="shared" si="14"/>
        <v>73.53</v>
      </c>
      <c r="F169" s="1"/>
    </row>
    <row r="170" spans="1:7" x14ac:dyDescent="0.2">
      <c r="A170" s="29" t="s">
        <v>89</v>
      </c>
      <c r="B170" s="18" t="s">
        <v>10</v>
      </c>
      <c r="C170" s="22">
        <v>3</v>
      </c>
      <c r="D170" s="20">
        <v>26.6</v>
      </c>
      <c r="E170" s="20">
        <f t="shared" si="14"/>
        <v>79.800000000000011</v>
      </c>
      <c r="F170" s="1"/>
    </row>
    <row r="171" spans="1:7" x14ac:dyDescent="0.2">
      <c r="A171" s="29" t="s">
        <v>147</v>
      </c>
      <c r="B171" s="18" t="s">
        <v>10</v>
      </c>
      <c r="C171" s="22">
        <v>1</v>
      </c>
      <c r="D171" s="20">
        <v>53.75</v>
      </c>
      <c r="E171" s="20">
        <f t="shared" si="14"/>
        <v>53.75</v>
      </c>
      <c r="F171" s="1"/>
    </row>
    <row r="172" spans="1:7" x14ac:dyDescent="0.2">
      <c r="A172" s="29" t="s">
        <v>96</v>
      </c>
      <c r="B172" s="18" t="s">
        <v>10</v>
      </c>
      <c r="C172" s="22">
        <v>1</v>
      </c>
      <c r="D172" s="20">
        <v>19.989999999999998</v>
      </c>
      <c r="E172" s="20">
        <f t="shared" si="14"/>
        <v>19.989999999999998</v>
      </c>
      <c r="F172" s="1"/>
    </row>
    <row r="173" spans="1:7" x14ac:dyDescent="0.2">
      <c r="A173" s="29" t="s">
        <v>148</v>
      </c>
      <c r="B173" s="18" t="s">
        <v>10</v>
      </c>
      <c r="C173" s="22">
        <v>1</v>
      </c>
      <c r="D173" s="20">
        <v>48.2</v>
      </c>
      <c r="E173" s="20">
        <f t="shared" si="14"/>
        <v>48.2</v>
      </c>
      <c r="F173" s="1"/>
    </row>
    <row r="174" spans="1:7" x14ac:dyDescent="0.2">
      <c r="A174" s="29" t="s">
        <v>149</v>
      </c>
      <c r="B174" s="18" t="s">
        <v>10</v>
      </c>
      <c r="C174" s="22">
        <v>6</v>
      </c>
      <c r="D174" s="20">
        <v>5.75</v>
      </c>
      <c r="E174" s="20">
        <f t="shared" si="14"/>
        <v>34.5</v>
      </c>
      <c r="F174" s="1"/>
    </row>
    <row r="175" spans="1:7" x14ac:dyDescent="0.2">
      <c r="A175" s="29" t="s">
        <v>150</v>
      </c>
      <c r="B175" s="18" t="s">
        <v>10</v>
      </c>
      <c r="C175" s="22">
        <v>1</v>
      </c>
      <c r="D175" s="20">
        <v>16.86</v>
      </c>
      <c r="E175" s="20">
        <f t="shared" si="14"/>
        <v>16.86</v>
      </c>
      <c r="F175" s="1"/>
    </row>
    <row r="176" spans="1:7" x14ac:dyDescent="0.2">
      <c r="A176" s="29" t="s">
        <v>95</v>
      </c>
      <c r="B176" s="18" t="s">
        <v>10</v>
      </c>
      <c r="C176" s="22">
        <v>2</v>
      </c>
      <c r="D176" s="20">
        <v>9.1999999999999993</v>
      </c>
      <c r="E176" s="20">
        <f t="shared" si="14"/>
        <v>18.399999999999999</v>
      </c>
      <c r="F176" s="1"/>
    </row>
    <row r="177" spans="1:8" x14ac:dyDescent="0.2">
      <c r="A177" s="29" t="s">
        <v>99</v>
      </c>
      <c r="B177" s="18" t="s">
        <v>10</v>
      </c>
      <c r="C177" s="22">
        <v>4</v>
      </c>
      <c r="D177" s="20">
        <v>36.04</v>
      </c>
      <c r="E177" s="20">
        <f t="shared" si="14"/>
        <v>144.16</v>
      </c>
      <c r="F177" s="1"/>
    </row>
    <row r="178" spans="1:8" x14ac:dyDescent="0.2">
      <c r="A178" s="29" t="s">
        <v>98</v>
      </c>
      <c r="B178" s="18" t="s">
        <v>10</v>
      </c>
      <c r="C178" s="22">
        <v>6</v>
      </c>
      <c r="D178" s="20">
        <v>15.14</v>
      </c>
      <c r="E178" s="20">
        <f t="shared" si="14"/>
        <v>90.84</v>
      </c>
      <c r="F178" s="1"/>
    </row>
    <row r="179" spans="1:8" x14ac:dyDescent="0.2">
      <c r="A179" s="29" t="s">
        <v>97</v>
      </c>
      <c r="B179" s="18" t="s">
        <v>10</v>
      </c>
      <c r="C179" s="22">
        <v>2</v>
      </c>
      <c r="D179" s="20">
        <v>28.61</v>
      </c>
      <c r="E179" s="20">
        <f t="shared" si="14"/>
        <v>57.22</v>
      </c>
      <c r="F179" s="1"/>
    </row>
    <row r="180" spans="1:8" x14ac:dyDescent="0.2">
      <c r="A180" s="29" t="s">
        <v>151</v>
      </c>
      <c r="B180" s="18" t="s">
        <v>10</v>
      </c>
      <c r="C180" s="22">
        <v>1</v>
      </c>
      <c r="D180" s="20">
        <v>21.8</v>
      </c>
      <c r="E180" s="20">
        <f t="shared" si="14"/>
        <v>21.8</v>
      </c>
      <c r="F180" s="1"/>
    </row>
    <row r="181" spans="1:8" x14ac:dyDescent="0.2">
      <c r="A181" s="29" t="s">
        <v>152</v>
      </c>
      <c r="B181" s="18" t="s">
        <v>10</v>
      </c>
      <c r="C181" s="22">
        <v>1</v>
      </c>
      <c r="D181" s="20">
        <v>28.56</v>
      </c>
      <c r="E181" s="20">
        <f t="shared" si="14"/>
        <v>28.56</v>
      </c>
      <c r="F181" s="1"/>
    </row>
    <row r="182" spans="1:8" x14ac:dyDescent="0.2">
      <c r="A182" s="29" t="s">
        <v>100</v>
      </c>
      <c r="B182" s="18" t="s">
        <v>10</v>
      </c>
      <c r="C182" s="22">
        <v>2</v>
      </c>
      <c r="D182" s="20">
        <v>57.76</v>
      </c>
      <c r="E182" s="20">
        <f t="shared" si="14"/>
        <v>115.52</v>
      </c>
      <c r="F182" s="1"/>
    </row>
    <row r="183" spans="1:8" x14ac:dyDescent="0.2">
      <c r="A183" s="29" t="s">
        <v>101</v>
      </c>
      <c r="B183" s="18" t="s">
        <v>10</v>
      </c>
      <c r="C183" s="22">
        <v>2</v>
      </c>
      <c r="D183" s="20">
        <v>132.79</v>
      </c>
      <c r="E183" s="20">
        <f t="shared" si="14"/>
        <v>265.58</v>
      </c>
      <c r="F183" s="1"/>
    </row>
    <row r="184" spans="1:8" x14ac:dyDescent="0.2">
      <c r="A184" s="190" t="s">
        <v>104</v>
      </c>
      <c r="B184" s="186"/>
      <c r="C184" s="186"/>
      <c r="D184" s="187"/>
      <c r="E184" s="50">
        <f>SUM(E167:E183)</f>
        <v>1636.0099999999998</v>
      </c>
      <c r="F184" s="1"/>
    </row>
    <row r="185" spans="1:8" x14ac:dyDescent="0.2">
      <c r="A185" s="190" t="s">
        <v>105</v>
      </c>
      <c r="B185" s="186"/>
      <c r="C185" s="186"/>
      <c r="D185" s="187"/>
      <c r="E185" s="50">
        <f>E184/12</f>
        <v>136.33416666666665</v>
      </c>
      <c r="F185" s="12"/>
    </row>
    <row r="187" spans="1:8" ht="15" customHeight="1" x14ac:dyDescent="0.25">
      <c r="A187" s="51" t="s">
        <v>153</v>
      </c>
      <c r="B187" s="191" t="s">
        <v>8</v>
      </c>
      <c r="C187" s="171"/>
      <c r="D187" s="191" t="s">
        <v>154</v>
      </c>
      <c r="E187" s="171"/>
      <c r="F187" s="191" t="s">
        <v>155</v>
      </c>
      <c r="G187" s="171"/>
    </row>
    <row r="188" spans="1:8" x14ac:dyDescent="0.2">
      <c r="A188" s="52" t="s">
        <v>156</v>
      </c>
      <c r="B188" s="173">
        <f>(E56+G64+G78+E100)</f>
        <v>25365.382999999998</v>
      </c>
      <c r="C188" s="171"/>
      <c r="D188" s="174">
        <f>(E57+G65+G79+E101)</f>
        <v>2113.7819166666668</v>
      </c>
      <c r="E188" s="171"/>
      <c r="F188" s="174">
        <f t="shared" ref="F188:F200" si="15">B188/12</f>
        <v>2113.7819166666663</v>
      </c>
      <c r="G188" s="171"/>
      <c r="H188" s="53"/>
    </row>
    <row r="189" spans="1:8" x14ac:dyDescent="0.2">
      <c r="A189" s="54" t="s">
        <v>157</v>
      </c>
      <c r="B189" s="172">
        <f>E56</f>
        <v>4692.9399999999996</v>
      </c>
      <c r="C189" s="171"/>
      <c r="D189" s="172">
        <f>E57</f>
        <v>391.07833333333332</v>
      </c>
      <c r="E189" s="171"/>
      <c r="F189" s="172">
        <f t="shared" si="15"/>
        <v>391.07833333333332</v>
      </c>
      <c r="G189" s="171"/>
    </row>
    <row r="190" spans="1:8" x14ac:dyDescent="0.2">
      <c r="A190" s="54" t="s">
        <v>158</v>
      </c>
      <c r="B190" s="172">
        <f>G64</f>
        <v>15186.648000000001</v>
      </c>
      <c r="C190" s="171"/>
      <c r="D190" s="172">
        <f>G65</f>
        <v>1265.5540000000001</v>
      </c>
      <c r="E190" s="171"/>
      <c r="F190" s="172">
        <f t="shared" si="15"/>
        <v>1265.5540000000001</v>
      </c>
      <c r="G190" s="171"/>
    </row>
    <row r="191" spans="1:8" x14ac:dyDescent="0.2">
      <c r="A191" s="54" t="s">
        <v>159</v>
      </c>
      <c r="B191" s="170">
        <f>G78</f>
        <v>2200.8850000000002</v>
      </c>
      <c r="C191" s="171"/>
      <c r="D191" s="170">
        <f>G79</f>
        <v>183.40708333333336</v>
      </c>
      <c r="E191" s="171"/>
      <c r="F191" s="172">
        <f t="shared" si="15"/>
        <v>183.40708333333336</v>
      </c>
      <c r="G191" s="171"/>
    </row>
    <row r="192" spans="1:8" x14ac:dyDescent="0.2">
      <c r="A192" s="54" t="s">
        <v>160</v>
      </c>
      <c r="B192" s="170">
        <f>E100</f>
        <v>3284.9099999999994</v>
      </c>
      <c r="C192" s="171"/>
      <c r="D192" s="170">
        <f>E101</f>
        <v>273.74249999999995</v>
      </c>
      <c r="E192" s="171"/>
      <c r="F192" s="172">
        <f t="shared" si="15"/>
        <v>273.74249999999995</v>
      </c>
      <c r="G192" s="171"/>
    </row>
    <row r="193" spans="1:8" x14ac:dyDescent="0.2">
      <c r="A193" s="52" t="s">
        <v>161</v>
      </c>
      <c r="B193" s="173">
        <f>(E119)</f>
        <v>2206.34</v>
      </c>
      <c r="C193" s="171"/>
      <c r="D193" s="173">
        <f>E120</f>
        <v>183.86166666666668</v>
      </c>
      <c r="E193" s="171"/>
      <c r="F193" s="174">
        <f t="shared" si="15"/>
        <v>183.86166666666668</v>
      </c>
      <c r="G193" s="171"/>
    </row>
    <row r="194" spans="1:8" x14ac:dyDescent="0.2">
      <c r="A194" s="54" t="s">
        <v>160</v>
      </c>
      <c r="B194" s="170">
        <f>E119</f>
        <v>2206.34</v>
      </c>
      <c r="C194" s="171"/>
      <c r="D194" s="170">
        <f>E120</f>
        <v>183.86166666666668</v>
      </c>
      <c r="E194" s="171"/>
      <c r="F194" s="172">
        <f t="shared" si="15"/>
        <v>183.86166666666668</v>
      </c>
      <c r="G194" s="171"/>
    </row>
    <row r="195" spans="1:8" x14ac:dyDescent="0.2">
      <c r="A195" s="52" t="s">
        <v>162</v>
      </c>
      <c r="B195" s="174">
        <f>(E148+F154+G163+E184)</f>
        <v>19396.994999999999</v>
      </c>
      <c r="C195" s="171"/>
      <c r="D195" s="174">
        <f>(E149+F155+G164+E185)</f>
        <v>1616.4162499999998</v>
      </c>
      <c r="E195" s="171"/>
      <c r="F195" s="174">
        <f t="shared" si="15"/>
        <v>1616.41625</v>
      </c>
      <c r="G195" s="171"/>
    </row>
    <row r="196" spans="1:8" x14ac:dyDescent="0.2">
      <c r="A196" s="54" t="s">
        <v>157</v>
      </c>
      <c r="B196" s="175">
        <f>E148</f>
        <v>8909.7800000000007</v>
      </c>
      <c r="C196" s="171"/>
      <c r="D196" s="175">
        <f>E149</f>
        <v>742.48166666666668</v>
      </c>
      <c r="E196" s="171"/>
      <c r="F196" s="172">
        <f t="shared" si="15"/>
        <v>742.48166666666668</v>
      </c>
      <c r="G196" s="171"/>
      <c r="H196" s="55"/>
    </row>
    <row r="197" spans="1:8" x14ac:dyDescent="0.2">
      <c r="A197" s="54" t="s">
        <v>163</v>
      </c>
      <c r="B197" s="175">
        <f>F154</f>
        <v>4421.76</v>
      </c>
      <c r="C197" s="171"/>
      <c r="D197" s="175">
        <f>F155</f>
        <v>368.48</v>
      </c>
      <c r="E197" s="171"/>
      <c r="F197" s="172">
        <f t="shared" si="15"/>
        <v>368.48</v>
      </c>
      <c r="G197" s="171"/>
      <c r="H197" s="55"/>
    </row>
    <row r="198" spans="1:8" x14ac:dyDescent="0.2">
      <c r="A198" s="54" t="s">
        <v>159</v>
      </c>
      <c r="B198" s="175">
        <f>G163</f>
        <v>4429.4449999999997</v>
      </c>
      <c r="C198" s="171"/>
      <c r="D198" s="175">
        <f>G164</f>
        <v>369.12041666666664</v>
      </c>
      <c r="E198" s="171"/>
      <c r="F198" s="172">
        <f t="shared" si="15"/>
        <v>369.12041666666664</v>
      </c>
      <c r="G198" s="171"/>
      <c r="H198" s="55"/>
    </row>
    <row r="199" spans="1:8" x14ac:dyDescent="0.2">
      <c r="A199" s="54" t="s">
        <v>160</v>
      </c>
      <c r="B199" s="175">
        <f>E184</f>
        <v>1636.0099999999998</v>
      </c>
      <c r="C199" s="171"/>
      <c r="D199" s="175">
        <f>E185</f>
        <v>136.33416666666665</v>
      </c>
      <c r="E199" s="171"/>
      <c r="F199" s="172">
        <f t="shared" si="15"/>
        <v>136.33416666666665</v>
      </c>
      <c r="G199" s="171"/>
      <c r="H199" s="55"/>
    </row>
    <row r="200" spans="1:8" x14ac:dyDescent="0.2">
      <c r="A200" s="56" t="s">
        <v>164</v>
      </c>
      <c r="B200" s="176">
        <f>B188+B193+B195</f>
        <v>46968.717999999993</v>
      </c>
      <c r="C200" s="171"/>
      <c r="D200" s="176">
        <f>D188+D193+D195</f>
        <v>3914.0598333333332</v>
      </c>
      <c r="E200" s="171"/>
      <c r="F200" s="174">
        <f t="shared" si="15"/>
        <v>3914.0598333333328</v>
      </c>
      <c r="G200" s="171"/>
      <c r="H200" s="55"/>
    </row>
    <row r="201" spans="1:8" x14ac:dyDescent="0.2">
      <c r="A201" s="57"/>
      <c r="B201" s="58"/>
      <c r="C201" s="58"/>
      <c r="D201" s="58"/>
      <c r="E201" s="58"/>
      <c r="F201" s="59"/>
      <c r="G201" s="60"/>
    </row>
    <row r="202" spans="1:8" x14ac:dyDescent="0.2">
      <c r="A202" s="177" t="s">
        <v>165</v>
      </c>
      <c r="B202" s="178"/>
      <c r="C202" s="178"/>
      <c r="D202" s="178"/>
      <c r="E202" s="178"/>
      <c r="F202" s="178"/>
      <c r="G202" s="61">
        <v>3</v>
      </c>
    </row>
    <row r="203" spans="1:8" x14ac:dyDescent="0.2">
      <c r="A203" s="177" t="s">
        <v>166</v>
      </c>
      <c r="B203" s="178"/>
      <c r="C203" s="178"/>
      <c r="D203" s="178"/>
      <c r="E203" s="178"/>
      <c r="F203" s="178"/>
      <c r="G203" s="61">
        <v>3</v>
      </c>
    </row>
    <row r="204" spans="1:8" x14ac:dyDescent="0.2">
      <c r="A204" s="179" t="s">
        <v>167</v>
      </c>
      <c r="B204" s="178"/>
      <c r="C204" s="178"/>
      <c r="D204" s="178"/>
      <c r="E204" s="178"/>
      <c r="F204" s="178"/>
      <c r="G204" s="178"/>
    </row>
    <row r="205" spans="1:8" x14ac:dyDescent="0.2">
      <c r="A205" s="60"/>
      <c r="B205" s="62"/>
      <c r="C205" s="62"/>
      <c r="D205" s="62"/>
      <c r="E205" s="59"/>
      <c r="F205" s="59"/>
      <c r="G205" s="60"/>
    </row>
  </sheetData>
  <mergeCells count="69">
    <mergeCell ref="D191:E191"/>
    <mergeCell ref="F191:G191"/>
    <mergeCell ref="B189:C189"/>
    <mergeCell ref="D189:E189"/>
    <mergeCell ref="F189:G189"/>
    <mergeCell ref="B190:C190"/>
    <mergeCell ref="D190:E190"/>
    <mergeCell ref="F190:G190"/>
    <mergeCell ref="B191:C191"/>
    <mergeCell ref="A163:F163"/>
    <mergeCell ref="D188:E188"/>
    <mergeCell ref="F188:G188"/>
    <mergeCell ref="A164:F164"/>
    <mergeCell ref="A184:D184"/>
    <mergeCell ref="A185:D185"/>
    <mergeCell ref="B187:C187"/>
    <mergeCell ref="D187:E187"/>
    <mergeCell ref="F187:G187"/>
    <mergeCell ref="B188:C188"/>
    <mergeCell ref="A122:E122"/>
    <mergeCell ref="A148:D148"/>
    <mergeCell ref="A149:D149"/>
    <mergeCell ref="A154:E154"/>
    <mergeCell ref="A155:E155"/>
    <mergeCell ref="A100:D100"/>
    <mergeCell ref="A101:D101"/>
    <mergeCell ref="A104:E104"/>
    <mergeCell ref="A119:D119"/>
    <mergeCell ref="A120:D120"/>
    <mergeCell ref="A57:D57"/>
    <mergeCell ref="A64:F64"/>
    <mergeCell ref="A65:F65"/>
    <mergeCell ref="A78:F78"/>
    <mergeCell ref="A79:F79"/>
    <mergeCell ref="A1:E1"/>
    <mergeCell ref="A2:E2"/>
    <mergeCell ref="A3:E3"/>
    <mergeCell ref="A4:E4"/>
    <mergeCell ref="A56:D56"/>
    <mergeCell ref="B198:C198"/>
    <mergeCell ref="D198:E198"/>
    <mergeCell ref="F198:G198"/>
    <mergeCell ref="B199:C199"/>
    <mergeCell ref="D199:E199"/>
    <mergeCell ref="F199:G199"/>
    <mergeCell ref="D200:E200"/>
    <mergeCell ref="F200:G200"/>
    <mergeCell ref="A202:F202"/>
    <mergeCell ref="A203:F203"/>
    <mergeCell ref="A204:G204"/>
    <mergeCell ref="B200:C200"/>
    <mergeCell ref="D197:E197"/>
    <mergeCell ref="F197:G197"/>
    <mergeCell ref="B195:C195"/>
    <mergeCell ref="D195:E195"/>
    <mergeCell ref="F195:G195"/>
    <mergeCell ref="B196:C196"/>
    <mergeCell ref="D196:E196"/>
    <mergeCell ref="F196:G196"/>
    <mergeCell ref="B197:C197"/>
    <mergeCell ref="D194:E194"/>
    <mergeCell ref="F194:G194"/>
    <mergeCell ref="B192:C192"/>
    <mergeCell ref="D192:E192"/>
    <mergeCell ref="F192:G192"/>
    <mergeCell ref="B193:C193"/>
    <mergeCell ref="D193:E193"/>
    <mergeCell ref="F193:G193"/>
    <mergeCell ref="B194:C194"/>
  </mergeCells>
  <pageMargins left="0.7" right="0.7" top="0.75" bottom="0.75" header="0" footer="0"/>
  <pageSetup orientation="portrait"/>
  <headerFooter>
    <oddHeader>&amp;C&amp;A</oddHeader>
    <oddFooter>&amp;CPágina &amp;P</oddFooter>
  </headerFooter>
  <colBreaks count="2" manualBreakCount="2">
    <brk man="1"/>
    <brk id="7"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H200"/>
  <sheetViews>
    <sheetView workbookViewId="0">
      <selection sqref="A1:E1"/>
    </sheetView>
  </sheetViews>
  <sheetFormatPr defaultColWidth="12.5703125" defaultRowHeight="15" customHeight="1" x14ac:dyDescent="0.2"/>
  <cols>
    <col min="1" max="1" width="53.5703125" customWidth="1"/>
    <col min="2" max="2" width="11.5703125" customWidth="1"/>
    <col min="3" max="3" width="14.85546875" customWidth="1"/>
    <col min="4" max="4" width="18" customWidth="1"/>
    <col min="5" max="5" width="15.42578125" customWidth="1"/>
  </cols>
  <sheetData>
    <row r="1" spans="1:8" x14ac:dyDescent="0.2">
      <c r="A1" s="180" t="s">
        <v>0</v>
      </c>
      <c r="B1" s="178"/>
      <c r="C1" s="178"/>
      <c r="D1" s="178"/>
      <c r="E1" s="178"/>
      <c r="F1" s="1"/>
      <c r="G1" s="1"/>
      <c r="H1" s="1"/>
    </row>
    <row r="2" spans="1:8" x14ac:dyDescent="0.2">
      <c r="A2" s="181" t="s">
        <v>1</v>
      </c>
      <c r="B2" s="178"/>
      <c r="C2" s="178"/>
      <c r="D2" s="178"/>
      <c r="E2" s="178"/>
      <c r="F2" s="1"/>
      <c r="G2" s="1"/>
      <c r="H2" s="1"/>
    </row>
    <row r="3" spans="1:8" x14ac:dyDescent="0.2">
      <c r="A3" s="182" t="s">
        <v>2</v>
      </c>
      <c r="B3" s="178"/>
      <c r="C3" s="178"/>
      <c r="D3" s="178"/>
      <c r="E3" s="178"/>
      <c r="F3" s="1"/>
      <c r="G3" s="1"/>
      <c r="H3" s="1"/>
    </row>
    <row r="4" spans="1:8" x14ac:dyDescent="0.2">
      <c r="A4" s="183" t="s">
        <v>3</v>
      </c>
      <c r="B4" s="184"/>
      <c r="C4" s="184"/>
      <c r="D4" s="184"/>
      <c r="E4" s="171"/>
      <c r="F4" s="1"/>
      <c r="G4" s="1"/>
      <c r="H4" s="1"/>
    </row>
    <row r="5" spans="1:8" x14ac:dyDescent="0.2">
      <c r="A5" s="2" t="s">
        <v>4</v>
      </c>
      <c r="B5" s="3" t="s">
        <v>5</v>
      </c>
      <c r="C5" s="3" t="s">
        <v>6</v>
      </c>
      <c r="D5" s="4" t="s">
        <v>7</v>
      </c>
      <c r="E5" s="4" t="s">
        <v>8</v>
      </c>
      <c r="F5" s="1"/>
      <c r="G5" s="1"/>
      <c r="H5" s="1"/>
    </row>
    <row r="6" spans="1:8" x14ac:dyDescent="0.2">
      <c r="A6" s="5" t="s">
        <v>9</v>
      </c>
      <c r="B6" s="6" t="s">
        <v>10</v>
      </c>
      <c r="C6" s="6">
        <v>1</v>
      </c>
      <c r="D6" s="7">
        <v>20.49</v>
      </c>
      <c r="E6" s="7">
        <f t="shared" ref="E6:E55" si="0">C6*D6</f>
        <v>20.49</v>
      </c>
      <c r="F6" s="1"/>
      <c r="G6" s="1"/>
      <c r="H6" s="1"/>
    </row>
    <row r="7" spans="1:8" x14ac:dyDescent="0.2">
      <c r="A7" s="5" t="s">
        <v>11</v>
      </c>
      <c r="B7" s="6" t="s">
        <v>10</v>
      </c>
      <c r="C7" s="6">
        <v>1</v>
      </c>
      <c r="D7" s="7">
        <v>31.05</v>
      </c>
      <c r="E7" s="7">
        <f t="shared" si="0"/>
        <v>31.05</v>
      </c>
      <c r="F7" s="1"/>
      <c r="G7" s="1"/>
      <c r="H7" s="1"/>
    </row>
    <row r="8" spans="1:8" x14ac:dyDescent="0.2">
      <c r="A8" s="5" t="s">
        <v>12</v>
      </c>
      <c r="B8" s="6" t="s">
        <v>10</v>
      </c>
      <c r="C8" s="6">
        <v>1</v>
      </c>
      <c r="D8" s="7">
        <v>42.87</v>
      </c>
      <c r="E8" s="7">
        <f t="shared" si="0"/>
        <v>42.87</v>
      </c>
      <c r="F8" s="1"/>
      <c r="G8" s="1"/>
      <c r="H8" s="1"/>
    </row>
    <row r="9" spans="1:8" x14ac:dyDescent="0.2">
      <c r="A9" s="5" t="s">
        <v>13</v>
      </c>
      <c r="B9" s="6" t="s">
        <v>10</v>
      </c>
      <c r="C9" s="6">
        <v>1</v>
      </c>
      <c r="D9" s="7">
        <v>18.760000000000002</v>
      </c>
      <c r="E9" s="7">
        <f t="shared" si="0"/>
        <v>18.760000000000002</v>
      </c>
      <c r="F9" s="1"/>
      <c r="G9" s="1"/>
      <c r="H9" s="1"/>
    </row>
    <row r="10" spans="1:8" x14ac:dyDescent="0.2">
      <c r="A10" s="5" t="s">
        <v>14</v>
      </c>
      <c r="B10" s="6" t="s">
        <v>10</v>
      </c>
      <c r="C10" s="6">
        <v>1</v>
      </c>
      <c r="D10" s="7">
        <v>19.96</v>
      </c>
      <c r="E10" s="7">
        <f t="shared" si="0"/>
        <v>19.96</v>
      </c>
      <c r="F10" s="1"/>
      <c r="G10" s="1"/>
      <c r="H10" s="1"/>
    </row>
    <row r="11" spans="1:8" x14ac:dyDescent="0.2">
      <c r="A11" s="5" t="s">
        <v>15</v>
      </c>
      <c r="B11" s="6" t="s">
        <v>10</v>
      </c>
      <c r="C11" s="6">
        <v>1</v>
      </c>
      <c r="D11" s="7">
        <v>163.49</v>
      </c>
      <c r="E11" s="7">
        <f t="shared" si="0"/>
        <v>163.49</v>
      </c>
      <c r="F11" s="1"/>
      <c r="G11" s="1"/>
      <c r="H11" s="1"/>
    </row>
    <row r="12" spans="1:8" x14ac:dyDescent="0.2">
      <c r="A12" s="5" t="s">
        <v>16</v>
      </c>
      <c r="B12" s="6" t="s">
        <v>10</v>
      </c>
      <c r="C12" s="6">
        <v>1</v>
      </c>
      <c r="D12" s="7">
        <v>20.64</v>
      </c>
      <c r="E12" s="7">
        <f t="shared" si="0"/>
        <v>20.64</v>
      </c>
      <c r="F12" s="1"/>
      <c r="G12" s="1"/>
      <c r="H12" s="1"/>
    </row>
    <row r="13" spans="1:8" x14ac:dyDescent="0.2">
      <c r="A13" s="5" t="s">
        <v>17</v>
      </c>
      <c r="B13" s="6" t="s">
        <v>10</v>
      </c>
      <c r="C13" s="6">
        <v>1</v>
      </c>
      <c r="D13" s="7">
        <v>19.940000000000001</v>
      </c>
      <c r="E13" s="7">
        <f t="shared" si="0"/>
        <v>19.940000000000001</v>
      </c>
      <c r="F13" s="1"/>
      <c r="G13" s="1"/>
      <c r="H13" s="1"/>
    </row>
    <row r="14" spans="1:8" x14ac:dyDescent="0.2">
      <c r="A14" s="5" t="s">
        <v>18</v>
      </c>
      <c r="B14" s="6" t="s">
        <v>10</v>
      </c>
      <c r="C14" s="6">
        <v>1</v>
      </c>
      <c r="D14" s="7">
        <v>67.930000000000007</v>
      </c>
      <c r="E14" s="7">
        <f t="shared" si="0"/>
        <v>67.930000000000007</v>
      </c>
      <c r="F14" s="1"/>
      <c r="G14" s="1"/>
      <c r="H14" s="1"/>
    </row>
    <row r="15" spans="1:8" x14ac:dyDescent="0.2">
      <c r="A15" s="5" t="s">
        <v>19</v>
      </c>
      <c r="B15" s="6" t="s">
        <v>20</v>
      </c>
      <c r="C15" s="6">
        <v>1</v>
      </c>
      <c r="D15" s="7">
        <v>148.77000000000001</v>
      </c>
      <c r="E15" s="7">
        <f t="shared" si="0"/>
        <v>148.77000000000001</v>
      </c>
      <c r="F15" s="1"/>
      <c r="G15" s="1"/>
      <c r="H15" s="1"/>
    </row>
    <row r="16" spans="1:8" x14ac:dyDescent="0.2">
      <c r="A16" s="5" t="s">
        <v>21</v>
      </c>
      <c r="B16" s="6" t="s">
        <v>20</v>
      </c>
      <c r="C16" s="6">
        <v>1</v>
      </c>
      <c r="D16" s="7">
        <v>105.12</v>
      </c>
      <c r="E16" s="7">
        <f t="shared" si="0"/>
        <v>105.12</v>
      </c>
      <c r="F16" s="1"/>
      <c r="G16" s="1"/>
      <c r="H16" s="1"/>
    </row>
    <row r="17" spans="1:8" x14ac:dyDescent="0.2">
      <c r="A17" s="5" t="s">
        <v>22</v>
      </c>
      <c r="B17" s="6" t="s">
        <v>20</v>
      </c>
      <c r="C17" s="6">
        <v>4</v>
      </c>
      <c r="D17" s="7">
        <v>27.73</v>
      </c>
      <c r="E17" s="7">
        <f t="shared" si="0"/>
        <v>110.92</v>
      </c>
      <c r="F17" s="1"/>
      <c r="G17" s="1"/>
      <c r="H17" s="1"/>
    </row>
    <row r="18" spans="1:8" x14ac:dyDescent="0.2">
      <c r="A18" s="5" t="s">
        <v>23</v>
      </c>
      <c r="B18" s="6" t="s">
        <v>20</v>
      </c>
      <c r="C18" s="6">
        <v>2</v>
      </c>
      <c r="D18" s="7">
        <v>44.79</v>
      </c>
      <c r="E18" s="7">
        <f t="shared" si="0"/>
        <v>89.58</v>
      </c>
      <c r="F18" s="1"/>
      <c r="G18" s="1"/>
      <c r="H18" s="1"/>
    </row>
    <row r="19" spans="1:8" x14ac:dyDescent="0.2">
      <c r="A19" s="5" t="s">
        <v>24</v>
      </c>
      <c r="B19" s="6" t="s">
        <v>20</v>
      </c>
      <c r="C19" s="6">
        <v>2</v>
      </c>
      <c r="D19" s="7">
        <v>40.36</v>
      </c>
      <c r="E19" s="7">
        <f t="shared" si="0"/>
        <v>80.72</v>
      </c>
      <c r="F19" s="1"/>
      <c r="G19" s="1"/>
      <c r="H19" s="1"/>
    </row>
    <row r="20" spans="1:8" x14ac:dyDescent="0.2">
      <c r="A20" s="8" t="s">
        <v>25</v>
      </c>
      <c r="B20" s="6" t="s">
        <v>10</v>
      </c>
      <c r="C20" s="6">
        <v>1</v>
      </c>
      <c r="D20" s="7">
        <v>14.23</v>
      </c>
      <c r="E20" s="7">
        <f t="shared" si="0"/>
        <v>14.23</v>
      </c>
      <c r="F20" s="1"/>
      <c r="G20" s="1"/>
      <c r="H20" s="1"/>
    </row>
    <row r="21" spans="1:8" x14ac:dyDescent="0.2">
      <c r="A21" s="5" t="s">
        <v>26</v>
      </c>
      <c r="B21" s="6" t="s">
        <v>10</v>
      </c>
      <c r="C21" s="6">
        <v>1</v>
      </c>
      <c r="D21" s="7">
        <v>20.7</v>
      </c>
      <c r="E21" s="7">
        <f t="shared" si="0"/>
        <v>20.7</v>
      </c>
      <c r="F21" s="1"/>
      <c r="G21" s="1"/>
      <c r="H21" s="1"/>
    </row>
    <row r="22" spans="1:8" x14ac:dyDescent="0.2">
      <c r="A22" s="5" t="s">
        <v>27</v>
      </c>
      <c r="B22" s="6" t="s">
        <v>10</v>
      </c>
      <c r="C22" s="6">
        <v>1</v>
      </c>
      <c r="D22" s="7">
        <v>34.26</v>
      </c>
      <c r="E22" s="7">
        <f t="shared" si="0"/>
        <v>34.26</v>
      </c>
      <c r="F22" s="1"/>
      <c r="G22" s="1"/>
      <c r="H22" s="1"/>
    </row>
    <row r="23" spans="1:8" x14ac:dyDescent="0.2">
      <c r="A23" s="5" t="s">
        <v>28</v>
      </c>
      <c r="B23" s="6" t="s">
        <v>10</v>
      </c>
      <c r="C23" s="6">
        <v>24</v>
      </c>
      <c r="D23" s="7">
        <v>1.39</v>
      </c>
      <c r="E23" s="7">
        <f t="shared" si="0"/>
        <v>33.36</v>
      </c>
      <c r="F23" s="1"/>
      <c r="G23" s="1"/>
      <c r="H23" s="1"/>
    </row>
    <row r="24" spans="1:8" x14ac:dyDescent="0.2">
      <c r="A24" s="5" t="s">
        <v>29</v>
      </c>
      <c r="B24" s="6" t="s">
        <v>10</v>
      </c>
      <c r="C24" s="6">
        <v>24</v>
      </c>
      <c r="D24" s="7">
        <v>4.43</v>
      </c>
      <c r="E24" s="7">
        <f t="shared" si="0"/>
        <v>106.32</v>
      </c>
      <c r="F24" s="1"/>
      <c r="G24" s="1"/>
      <c r="H24" s="1"/>
    </row>
    <row r="25" spans="1:8" x14ac:dyDescent="0.2">
      <c r="A25" s="5" t="s">
        <v>30</v>
      </c>
      <c r="B25" s="6" t="s">
        <v>10</v>
      </c>
      <c r="C25" s="6">
        <v>2</v>
      </c>
      <c r="D25" s="7">
        <v>14.06</v>
      </c>
      <c r="E25" s="7">
        <f t="shared" si="0"/>
        <v>28.12</v>
      </c>
      <c r="F25" s="1"/>
      <c r="G25" s="1"/>
      <c r="H25" s="1"/>
    </row>
    <row r="26" spans="1:8" x14ac:dyDescent="0.2">
      <c r="A26" s="5" t="s">
        <v>31</v>
      </c>
      <c r="B26" s="6" t="s">
        <v>10</v>
      </c>
      <c r="C26" s="6">
        <v>2</v>
      </c>
      <c r="D26" s="7">
        <v>9.09</v>
      </c>
      <c r="E26" s="7">
        <f t="shared" si="0"/>
        <v>18.18</v>
      </c>
      <c r="F26" s="1"/>
      <c r="G26" s="1"/>
      <c r="H26" s="1"/>
    </row>
    <row r="27" spans="1:8" x14ac:dyDescent="0.2">
      <c r="A27" s="5" t="s">
        <v>32</v>
      </c>
      <c r="B27" s="6" t="s">
        <v>10</v>
      </c>
      <c r="C27" s="6">
        <v>1</v>
      </c>
      <c r="D27" s="7">
        <v>28.33</v>
      </c>
      <c r="E27" s="7">
        <f t="shared" si="0"/>
        <v>28.33</v>
      </c>
      <c r="F27" s="1"/>
      <c r="G27" s="1"/>
      <c r="H27" s="1"/>
    </row>
    <row r="28" spans="1:8" x14ac:dyDescent="0.2">
      <c r="A28" s="5" t="s">
        <v>33</v>
      </c>
      <c r="B28" s="6" t="s">
        <v>10</v>
      </c>
      <c r="C28" s="6">
        <v>6</v>
      </c>
      <c r="D28" s="7">
        <v>12.82</v>
      </c>
      <c r="E28" s="7">
        <f t="shared" si="0"/>
        <v>76.92</v>
      </c>
      <c r="F28" s="1"/>
      <c r="G28" s="1"/>
      <c r="H28" s="1"/>
    </row>
    <row r="29" spans="1:8" x14ac:dyDescent="0.2">
      <c r="A29" s="5" t="s">
        <v>34</v>
      </c>
      <c r="B29" s="6" t="s">
        <v>10</v>
      </c>
      <c r="C29" s="6">
        <v>1</v>
      </c>
      <c r="D29" s="7">
        <v>19.079999999999998</v>
      </c>
      <c r="E29" s="7">
        <f t="shared" si="0"/>
        <v>19.079999999999998</v>
      </c>
      <c r="F29" s="1"/>
      <c r="G29" s="1"/>
      <c r="H29" s="1"/>
    </row>
    <row r="30" spans="1:8" x14ac:dyDescent="0.2">
      <c r="A30" s="5" t="s">
        <v>35</v>
      </c>
      <c r="B30" s="6" t="s">
        <v>10</v>
      </c>
      <c r="C30" s="6">
        <v>24</v>
      </c>
      <c r="D30" s="7">
        <v>35.46</v>
      </c>
      <c r="E30" s="7">
        <f t="shared" si="0"/>
        <v>851.04</v>
      </c>
      <c r="F30" s="1"/>
      <c r="G30" s="1"/>
      <c r="H30" s="1"/>
    </row>
    <row r="31" spans="1:8" x14ac:dyDescent="0.2">
      <c r="A31" s="5" t="s">
        <v>36</v>
      </c>
      <c r="B31" s="6" t="s">
        <v>10</v>
      </c>
      <c r="C31" s="6">
        <v>4</v>
      </c>
      <c r="D31" s="7">
        <v>1.82</v>
      </c>
      <c r="E31" s="7">
        <f t="shared" si="0"/>
        <v>7.28</v>
      </c>
      <c r="F31" s="1"/>
      <c r="G31" s="1"/>
      <c r="H31" s="1"/>
    </row>
    <row r="32" spans="1:8" x14ac:dyDescent="0.2">
      <c r="A32" s="5" t="s">
        <v>37</v>
      </c>
      <c r="B32" s="6" t="s">
        <v>10</v>
      </c>
      <c r="C32" s="6">
        <v>1</v>
      </c>
      <c r="D32" s="7">
        <v>184.73</v>
      </c>
      <c r="E32" s="7">
        <f t="shared" si="0"/>
        <v>184.73</v>
      </c>
      <c r="F32" s="1"/>
      <c r="G32" s="1"/>
      <c r="H32" s="1"/>
    </row>
    <row r="33" spans="1:8" x14ac:dyDescent="0.2">
      <c r="A33" s="5" t="s">
        <v>38</v>
      </c>
      <c r="B33" s="6" t="s">
        <v>10</v>
      </c>
      <c r="C33" s="6">
        <v>1</v>
      </c>
      <c r="D33" s="7">
        <v>51.8</v>
      </c>
      <c r="E33" s="7">
        <f t="shared" si="0"/>
        <v>51.8</v>
      </c>
      <c r="F33" s="1"/>
      <c r="G33" s="1"/>
      <c r="H33" s="1"/>
    </row>
    <row r="34" spans="1:8" x14ac:dyDescent="0.2">
      <c r="A34" s="5" t="s">
        <v>39</v>
      </c>
      <c r="B34" s="6" t="s">
        <v>10</v>
      </c>
      <c r="C34" s="6">
        <v>1</v>
      </c>
      <c r="D34" s="7">
        <v>60.32</v>
      </c>
      <c r="E34" s="7">
        <f t="shared" si="0"/>
        <v>60.32</v>
      </c>
      <c r="F34" s="1"/>
      <c r="G34" s="1"/>
      <c r="H34" s="1"/>
    </row>
    <row r="35" spans="1:8" x14ac:dyDescent="0.2">
      <c r="A35" s="5" t="s">
        <v>40</v>
      </c>
      <c r="B35" s="6" t="s">
        <v>10</v>
      </c>
      <c r="C35" s="6">
        <v>1</v>
      </c>
      <c r="D35" s="7">
        <v>95.17</v>
      </c>
      <c r="E35" s="7">
        <f t="shared" si="0"/>
        <v>95.17</v>
      </c>
      <c r="F35" s="1"/>
      <c r="G35" s="1"/>
      <c r="H35" s="1"/>
    </row>
    <row r="36" spans="1:8" x14ac:dyDescent="0.2">
      <c r="A36" s="5" t="s">
        <v>41</v>
      </c>
      <c r="B36" s="6" t="s">
        <v>10</v>
      </c>
      <c r="C36" s="6">
        <v>1</v>
      </c>
      <c r="D36" s="7">
        <v>147.69999999999999</v>
      </c>
      <c r="E36" s="7">
        <f t="shared" si="0"/>
        <v>147.69999999999999</v>
      </c>
      <c r="F36" s="1"/>
      <c r="G36" s="1"/>
      <c r="H36" s="1"/>
    </row>
    <row r="37" spans="1:8" x14ac:dyDescent="0.2">
      <c r="A37" s="5" t="s">
        <v>42</v>
      </c>
      <c r="B37" s="6" t="s">
        <v>10</v>
      </c>
      <c r="C37" s="6">
        <v>1</v>
      </c>
      <c r="D37" s="7">
        <v>43.37</v>
      </c>
      <c r="E37" s="7">
        <f t="shared" si="0"/>
        <v>43.37</v>
      </c>
      <c r="F37" s="1"/>
      <c r="G37" s="1"/>
      <c r="H37" s="1"/>
    </row>
    <row r="38" spans="1:8" x14ac:dyDescent="0.2">
      <c r="A38" s="5" t="s">
        <v>43</v>
      </c>
      <c r="B38" s="6" t="s">
        <v>10</v>
      </c>
      <c r="C38" s="6">
        <v>1</v>
      </c>
      <c r="D38" s="7">
        <v>79.099999999999994</v>
      </c>
      <c r="E38" s="7">
        <f t="shared" si="0"/>
        <v>79.099999999999994</v>
      </c>
      <c r="F38" s="1"/>
      <c r="G38" s="1"/>
      <c r="H38" s="1"/>
    </row>
    <row r="39" spans="1:8" x14ac:dyDescent="0.2">
      <c r="A39" s="5" t="s">
        <v>44</v>
      </c>
      <c r="B39" s="6" t="s">
        <v>10</v>
      </c>
      <c r="C39" s="6">
        <v>1</v>
      </c>
      <c r="D39" s="7">
        <v>58.47</v>
      </c>
      <c r="E39" s="7">
        <f t="shared" si="0"/>
        <v>58.47</v>
      </c>
      <c r="F39" s="1"/>
      <c r="G39" s="1"/>
      <c r="H39" s="1"/>
    </row>
    <row r="40" spans="1:8" x14ac:dyDescent="0.2">
      <c r="A40" s="5" t="s">
        <v>45</v>
      </c>
      <c r="B40" s="6" t="s">
        <v>10</v>
      </c>
      <c r="C40" s="6">
        <v>1</v>
      </c>
      <c r="D40" s="7">
        <v>33.93</v>
      </c>
      <c r="E40" s="7">
        <f t="shared" si="0"/>
        <v>33.93</v>
      </c>
      <c r="F40" s="1"/>
      <c r="G40" s="1"/>
      <c r="H40" s="1"/>
    </row>
    <row r="41" spans="1:8" x14ac:dyDescent="0.2">
      <c r="A41" s="5" t="s">
        <v>46</v>
      </c>
      <c r="B41" s="6" t="s">
        <v>10</v>
      </c>
      <c r="C41" s="6">
        <v>4</v>
      </c>
      <c r="D41" s="7">
        <v>7.77</v>
      </c>
      <c r="E41" s="7">
        <f t="shared" si="0"/>
        <v>31.08</v>
      </c>
      <c r="F41" s="1"/>
      <c r="G41" s="1"/>
      <c r="H41" s="1"/>
    </row>
    <row r="42" spans="1:8" x14ac:dyDescent="0.2">
      <c r="A42" s="5" t="s">
        <v>47</v>
      </c>
      <c r="B42" s="6" t="s">
        <v>10</v>
      </c>
      <c r="C42" s="6">
        <v>12</v>
      </c>
      <c r="D42" s="7">
        <v>15.39</v>
      </c>
      <c r="E42" s="7">
        <f t="shared" si="0"/>
        <v>184.68</v>
      </c>
      <c r="F42" s="1"/>
      <c r="G42" s="1"/>
      <c r="H42" s="1"/>
    </row>
    <row r="43" spans="1:8" x14ac:dyDescent="0.2">
      <c r="A43" s="5" t="s">
        <v>48</v>
      </c>
      <c r="B43" s="6" t="s">
        <v>10</v>
      </c>
      <c r="C43" s="6">
        <v>12</v>
      </c>
      <c r="D43" s="7">
        <v>6.32</v>
      </c>
      <c r="E43" s="7">
        <f t="shared" si="0"/>
        <v>75.84</v>
      </c>
      <c r="F43" s="1"/>
      <c r="G43" s="1"/>
      <c r="H43" s="1"/>
    </row>
    <row r="44" spans="1:8" x14ac:dyDescent="0.2">
      <c r="A44" s="5" t="s">
        <v>49</v>
      </c>
      <c r="B44" s="6" t="s">
        <v>10</v>
      </c>
      <c r="C44" s="6">
        <v>12</v>
      </c>
      <c r="D44" s="7">
        <v>21.53</v>
      </c>
      <c r="E44" s="7">
        <f t="shared" si="0"/>
        <v>258.36</v>
      </c>
      <c r="F44" s="1"/>
      <c r="G44" s="1"/>
      <c r="H44" s="1"/>
    </row>
    <row r="45" spans="1:8" x14ac:dyDescent="0.2">
      <c r="A45" s="5" t="s">
        <v>50</v>
      </c>
      <c r="B45" s="6" t="s">
        <v>10</v>
      </c>
      <c r="C45" s="6">
        <v>12</v>
      </c>
      <c r="D45" s="7">
        <v>12.25</v>
      </c>
      <c r="E45" s="7">
        <f t="shared" si="0"/>
        <v>147</v>
      </c>
      <c r="F45" s="1"/>
      <c r="G45" s="1"/>
      <c r="H45" s="1"/>
    </row>
    <row r="46" spans="1:8" x14ac:dyDescent="0.2">
      <c r="A46" s="5" t="s">
        <v>51</v>
      </c>
      <c r="B46" s="6" t="s">
        <v>10</v>
      </c>
      <c r="C46" s="6">
        <v>1</v>
      </c>
      <c r="D46" s="7">
        <v>33.75</v>
      </c>
      <c r="E46" s="7">
        <f t="shared" si="0"/>
        <v>33.75</v>
      </c>
      <c r="F46" s="1"/>
      <c r="G46" s="1"/>
      <c r="H46" s="1"/>
    </row>
    <row r="47" spans="1:8" x14ac:dyDescent="0.2">
      <c r="A47" s="5" t="s">
        <v>52</v>
      </c>
      <c r="B47" s="6" t="s">
        <v>10</v>
      </c>
      <c r="C47" s="6">
        <v>1</v>
      </c>
      <c r="D47" s="7">
        <v>47.86</v>
      </c>
      <c r="E47" s="7">
        <f t="shared" si="0"/>
        <v>47.86</v>
      </c>
      <c r="F47" s="1"/>
      <c r="G47" s="1"/>
      <c r="H47" s="1"/>
    </row>
    <row r="48" spans="1:8" x14ac:dyDescent="0.2">
      <c r="A48" s="5" t="s">
        <v>53</v>
      </c>
      <c r="B48" s="6" t="s">
        <v>10</v>
      </c>
      <c r="C48" s="6">
        <v>1</v>
      </c>
      <c r="D48" s="7">
        <v>16.79</v>
      </c>
      <c r="E48" s="7">
        <f t="shared" si="0"/>
        <v>16.79</v>
      </c>
      <c r="F48" s="1"/>
      <c r="G48" s="1"/>
      <c r="H48" s="1"/>
    </row>
    <row r="49" spans="1:8" x14ac:dyDescent="0.2">
      <c r="A49" s="5" t="s">
        <v>54</v>
      </c>
      <c r="B49" s="6" t="s">
        <v>10</v>
      </c>
      <c r="C49" s="6">
        <v>1</v>
      </c>
      <c r="D49" s="7">
        <v>50.6</v>
      </c>
      <c r="E49" s="7">
        <f t="shared" si="0"/>
        <v>50.6</v>
      </c>
      <c r="F49" s="1"/>
      <c r="G49" s="1"/>
      <c r="H49" s="1"/>
    </row>
    <row r="50" spans="1:8" x14ac:dyDescent="0.2">
      <c r="A50" s="5" t="s">
        <v>55</v>
      </c>
      <c r="B50" s="6" t="s">
        <v>10</v>
      </c>
      <c r="C50" s="6">
        <v>1</v>
      </c>
      <c r="D50" s="7">
        <v>74.14</v>
      </c>
      <c r="E50" s="7">
        <f t="shared" si="0"/>
        <v>74.14</v>
      </c>
      <c r="F50" s="1"/>
      <c r="G50" s="1"/>
      <c r="H50" s="1"/>
    </row>
    <row r="51" spans="1:8" x14ac:dyDescent="0.2">
      <c r="A51" s="5" t="s">
        <v>56</v>
      </c>
      <c r="B51" s="6" t="s">
        <v>10</v>
      </c>
      <c r="C51" s="6">
        <v>1</v>
      </c>
      <c r="D51" s="7">
        <v>184.07</v>
      </c>
      <c r="E51" s="7">
        <f t="shared" si="0"/>
        <v>184.07</v>
      </c>
      <c r="F51" s="1"/>
      <c r="G51" s="1"/>
      <c r="H51" s="1"/>
    </row>
    <row r="52" spans="1:8" x14ac:dyDescent="0.2">
      <c r="A52" s="5" t="s">
        <v>57</v>
      </c>
      <c r="B52" s="6" t="s">
        <v>10</v>
      </c>
      <c r="C52" s="6">
        <v>4</v>
      </c>
      <c r="D52" s="7">
        <v>68.95</v>
      </c>
      <c r="E52" s="7">
        <f t="shared" si="0"/>
        <v>275.8</v>
      </c>
      <c r="F52" s="1"/>
      <c r="G52" s="1"/>
      <c r="H52" s="1"/>
    </row>
    <row r="53" spans="1:8" x14ac:dyDescent="0.2">
      <c r="A53" s="5" t="s">
        <v>58</v>
      </c>
      <c r="B53" s="6" t="s">
        <v>10</v>
      </c>
      <c r="C53" s="6">
        <v>2</v>
      </c>
      <c r="D53" s="7">
        <v>20.41</v>
      </c>
      <c r="E53" s="7">
        <f t="shared" si="0"/>
        <v>40.82</v>
      </c>
      <c r="F53" s="1"/>
      <c r="G53" s="1"/>
      <c r="H53" s="1"/>
    </row>
    <row r="54" spans="1:8" x14ac:dyDescent="0.2">
      <c r="A54" s="5" t="s">
        <v>59</v>
      </c>
      <c r="B54" s="6" t="s">
        <v>60</v>
      </c>
      <c r="C54" s="6">
        <v>12</v>
      </c>
      <c r="D54" s="7">
        <v>27.55</v>
      </c>
      <c r="E54" s="7">
        <f t="shared" si="0"/>
        <v>330.6</v>
      </c>
      <c r="F54" s="1"/>
      <c r="G54" s="1"/>
      <c r="H54" s="1"/>
    </row>
    <row r="55" spans="1:8" x14ac:dyDescent="0.2">
      <c r="A55" s="5" t="s">
        <v>61</v>
      </c>
      <c r="B55" s="6" t="s">
        <v>10</v>
      </c>
      <c r="C55" s="6">
        <v>1</v>
      </c>
      <c r="D55" s="7">
        <v>8.9</v>
      </c>
      <c r="E55" s="7">
        <f t="shared" si="0"/>
        <v>8.9</v>
      </c>
      <c r="F55" s="1"/>
      <c r="G55" s="1"/>
      <c r="H55" s="1"/>
    </row>
    <row r="56" spans="1:8" x14ac:dyDescent="0.2">
      <c r="A56" s="185" t="s">
        <v>62</v>
      </c>
      <c r="B56" s="186"/>
      <c r="C56" s="186"/>
      <c r="D56" s="187"/>
      <c r="E56" s="9">
        <f>SUM(E6:E55)</f>
        <v>4692.9399999999996</v>
      </c>
      <c r="F56" s="1"/>
      <c r="G56" s="1"/>
      <c r="H56" s="1"/>
    </row>
    <row r="57" spans="1:8" x14ac:dyDescent="0.2">
      <c r="A57" s="185" t="s">
        <v>63</v>
      </c>
      <c r="B57" s="186"/>
      <c r="C57" s="186"/>
      <c r="D57" s="187"/>
      <c r="E57" s="9">
        <f>E56/12</f>
        <v>391.07833333333332</v>
      </c>
      <c r="F57" s="1"/>
      <c r="G57" s="1"/>
      <c r="H57" s="1"/>
    </row>
    <row r="58" spans="1:8" x14ac:dyDescent="0.2">
      <c r="A58" s="10"/>
      <c r="B58" s="10"/>
      <c r="C58" s="10"/>
      <c r="D58" s="11"/>
      <c r="E58" s="11"/>
      <c r="F58" s="10"/>
      <c r="G58" s="10"/>
      <c r="H58" s="1"/>
    </row>
    <row r="59" spans="1:8" x14ac:dyDescent="0.2">
      <c r="A59" s="2" t="s">
        <v>64</v>
      </c>
      <c r="B59" s="3" t="s">
        <v>5</v>
      </c>
      <c r="C59" s="3" t="s">
        <v>6</v>
      </c>
      <c r="D59" s="3" t="s">
        <v>65</v>
      </c>
      <c r="E59" s="3" t="s">
        <v>66</v>
      </c>
      <c r="F59" s="4" t="s">
        <v>7</v>
      </c>
      <c r="G59" s="4" t="s">
        <v>8</v>
      </c>
      <c r="H59" s="1"/>
    </row>
    <row r="60" spans="1:8" x14ac:dyDescent="0.2">
      <c r="A60" s="5" t="s">
        <v>67</v>
      </c>
      <c r="B60" s="6" t="s">
        <v>68</v>
      </c>
      <c r="C60" s="6">
        <f t="shared" ref="C60:C62" si="1">E60/5</f>
        <v>20</v>
      </c>
      <c r="D60" s="6">
        <v>50</v>
      </c>
      <c r="E60" s="6">
        <f t="shared" ref="E60:E62" si="2">D60*2</f>
        <v>100</v>
      </c>
      <c r="F60" s="7">
        <v>569.58000000000004</v>
      </c>
      <c r="G60" s="7">
        <f>F60*C60</f>
        <v>11391.6</v>
      </c>
      <c r="H60" s="1"/>
    </row>
    <row r="61" spans="1:8" x14ac:dyDescent="0.2">
      <c r="A61" s="5" t="s">
        <v>69</v>
      </c>
      <c r="B61" s="6" t="s">
        <v>70</v>
      </c>
      <c r="C61" s="6">
        <f t="shared" si="1"/>
        <v>2</v>
      </c>
      <c r="D61" s="6">
        <v>5</v>
      </c>
      <c r="E61" s="6">
        <f t="shared" si="2"/>
        <v>10</v>
      </c>
      <c r="F61" s="7">
        <v>139.76</v>
      </c>
      <c r="G61" s="7">
        <f t="shared" ref="G61:G62" si="3">C61*F61</f>
        <v>279.52</v>
      </c>
      <c r="H61" s="1"/>
    </row>
    <row r="62" spans="1:8" x14ac:dyDescent="0.2">
      <c r="A62" s="5" t="s">
        <v>71</v>
      </c>
      <c r="B62" s="6" t="s">
        <v>70</v>
      </c>
      <c r="C62" s="6">
        <f t="shared" si="1"/>
        <v>6</v>
      </c>
      <c r="D62" s="6">
        <v>15</v>
      </c>
      <c r="E62" s="6">
        <f t="shared" si="2"/>
        <v>30</v>
      </c>
      <c r="F62" s="7">
        <v>153.6</v>
      </c>
      <c r="G62" s="7">
        <f t="shared" si="3"/>
        <v>921.59999999999991</v>
      </c>
      <c r="H62" s="1"/>
    </row>
    <row r="63" spans="1:8" x14ac:dyDescent="0.2">
      <c r="A63" s="185" t="s">
        <v>62</v>
      </c>
      <c r="B63" s="186"/>
      <c r="C63" s="186"/>
      <c r="D63" s="186"/>
      <c r="E63" s="186"/>
      <c r="F63" s="187"/>
      <c r="G63" s="9">
        <f>SUM(G60:G62)</f>
        <v>12592.720000000001</v>
      </c>
      <c r="H63" s="1"/>
    </row>
    <row r="64" spans="1:8" x14ac:dyDescent="0.2">
      <c r="A64" s="185" t="s">
        <v>63</v>
      </c>
      <c r="B64" s="186"/>
      <c r="C64" s="186"/>
      <c r="D64" s="186"/>
      <c r="E64" s="186"/>
      <c r="F64" s="187"/>
      <c r="G64" s="9">
        <f>G63/12</f>
        <v>1049.3933333333334</v>
      </c>
      <c r="H64" s="12"/>
    </row>
    <row r="65" spans="1:8" x14ac:dyDescent="0.2">
      <c r="A65" s="1"/>
      <c r="B65" s="1"/>
      <c r="C65" s="1"/>
      <c r="D65" s="1"/>
      <c r="E65" s="12"/>
      <c r="F65" s="1"/>
      <c r="G65" s="1"/>
      <c r="H65" s="1"/>
    </row>
    <row r="66" spans="1:8" x14ac:dyDescent="0.2">
      <c r="A66" s="13" t="s">
        <v>72</v>
      </c>
      <c r="B66" s="13" t="s">
        <v>5</v>
      </c>
      <c r="C66" s="13" t="s">
        <v>73</v>
      </c>
      <c r="D66" s="13" t="s">
        <v>74</v>
      </c>
      <c r="E66" s="13" t="s">
        <v>6</v>
      </c>
      <c r="F66" s="14" t="s">
        <v>7</v>
      </c>
      <c r="G66" s="14" t="s">
        <v>8</v>
      </c>
      <c r="H66" s="1"/>
    </row>
    <row r="67" spans="1:8" x14ac:dyDescent="0.2">
      <c r="A67" s="5" t="s">
        <v>75</v>
      </c>
      <c r="B67" s="6" t="s">
        <v>10</v>
      </c>
      <c r="C67" s="6">
        <v>1</v>
      </c>
      <c r="D67" s="15">
        <v>60</v>
      </c>
      <c r="E67" s="16">
        <f t="shared" ref="E67:E73" si="4">12/D67*C67</f>
        <v>0.2</v>
      </c>
      <c r="F67" s="7">
        <v>856.5</v>
      </c>
      <c r="G67" s="7">
        <f t="shared" ref="G67:G73" si="5">E67*F67</f>
        <v>171.3</v>
      </c>
      <c r="H67" s="1"/>
    </row>
    <row r="68" spans="1:8" x14ac:dyDescent="0.2">
      <c r="A68" s="5" t="s">
        <v>76</v>
      </c>
      <c r="B68" s="6" t="s">
        <v>10</v>
      </c>
      <c r="C68" s="6">
        <v>1</v>
      </c>
      <c r="D68" s="15">
        <v>30</v>
      </c>
      <c r="E68" s="16">
        <f t="shared" si="4"/>
        <v>0.4</v>
      </c>
      <c r="F68" s="7">
        <v>659.85</v>
      </c>
      <c r="G68" s="7">
        <f t="shared" si="5"/>
        <v>263.94</v>
      </c>
      <c r="H68" s="1"/>
    </row>
    <row r="69" spans="1:8" x14ac:dyDescent="0.2">
      <c r="A69" s="5" t="s">
        <v>77</v>
      </c>
      <c r="B69" s="6" t="s">
        <v>10</v>
      </c>
      <c r="C69" s="6">
        <v>1</v>
      </c>
      <c r="D69" s="15">
        <v>24</v>
      </c>
      <c r="E69" s="16">
        <f t="shared" si="4"/>
        <v>0.5</v>
      </c>
      <c r="F69" s="7">
        <v>425.12</v>
      </c>
      <c r="G69" s="7">
        <f t="shared" si="5"/>
        <v>212.56</v>
      </c>
      <c r="H69" s="1"/>
    </row>
    <row r="70" spans="1:8" x14ac:dyDescent="0.2">
      <c r="A70" s="5" t="s">
        <v>78</v>
      </c>
      <c r="B70" s="6" t="s">
        <v>10</v>
      </c>
      <c r="C70" s="6">
        <v>1</v>
      </c>
      <c r="D70" s="15">
        <v>24</v>
      </c>
      <c r="E70" s="16">
        <f t="shared" si="4"/>
        <v>0.5</v>
      </c>
      <c r="F70" s="7">
        <v>336.35</v>
      </c>
      <c r="G70" s="7">
        <f t="shared" si="5"/>
        <v>168.17500000000001</v>
      </c>
      <c r="H70" s="1"/>
    </row>
    <row r="71" spans="1:8" x14ac:dyDescent="0.2">
      <c r="A71" s="5" t="s">
        <v>79</v>
      </c>
      <c r="B71" s="6" t="s">
        <v>10</v>
      </c>
      <c r="C71" s="6">
        <v>1</v>
      </c>
      <c r="D71" s="15">
        <v>30</v>
      </c>
      <c r="E71" s="16">
        <f t="shared" si="4"/>
        <v>0.4</v>
      </c>
      <c r="F71" s="7">
        <v>906</v>
      </c>
      <c r="G71" s="7">
        <f t="shared" si="5"/>
        <v>362.40000000000003</v>
      </c>
      <c r="H71" s="1"/>
    </row>
    <row r="72" spans="1:8" x14ac:dyDescent="0.2">
      <c r="A72" s="5" t="s">
        <v>80</v>
      </c>
      <c r="B72" s="6" t="s">
        <v>10</v>
      </c>
      <c r="C72" s="6">
        <v>1</v>
      </c>
      <c r="D72" s="15">
        <v>24</v>
      </c>
      <c r="E72" s="16">
        <f t="shared" si="4"/>
        <v>0.5</v>
      </c>
      <c r="F72" s="7">
        <v>375.34</v>
      </c>
      <c r="G72" s="7">
        <f t="shared" si="5"/>
        <v>187.67</v>
      </c>
      <c r="H72" s="1"/>
    </row>
    <row r="73" spans="1:8" x14ac:dyDescent="0.2">
      <c r="A73" s="5" t="s">
        <v>81</v>
      </c>
      <c r="B73" s="6" t="s">
        <v>10</v>
      </c>
      <c r="C73" s="6">
        <v>1</v>
      </c>
      <c r="D73" s="15">
        <v>30</v>
      </c>
      <c r="E73" s="16">
        <f t="shared" si="4"/>
        <v>0.4</v>
      </c>
      <c r="F73" s="7">
        <v>471.3</v>
      </c>
      <c r="G73" s="7">
        <f t="shared" si="5"/>
        <v>188.52</v>
      </c>
      <c r="H73" s="1"/>
    </row>
    <row r="74" spans="1:8" x14ac:dyDescent="0.2">
      <c r="A74" s="185" t="s">
        <v>82</v>
      </c>
      <c r="B74" s="186"/>
      <c r="C74" s="186"/>
      <c r="D74" s="186"/>
      <c r="E74" s="186"/>
      <c r="F74" s="187"/>
      <c r="G74" s="17">
        <f>SUM(G67:G73)</f>
        <v>1554.5650000000001</v>
      </c>
      <c r="H74" s="1"/>
    </row>
    <row r="75" spans="1:8" x14ac:dyDescent="0.2">
      <c r="A75" s="185" t="s">
        <v>83</v>
      </c>
      <c r="B75" s="186"/>
      <c r="C75" s="186"/>
      <c r="D75" s="186"/>
      <c r="E75" s="186"/>
      <c r="F75" s="187"/>
      <c r="G75" s="17">
        <f>G74/12</f>
        <v>129.54708333333335</v>
      </c>
      <c r="H75" s="1"/>
    </row>
    <row r="76" spans="1:8" x14ac:dyDescent="0.2">
      <c r="A76" s="1"/>
      <c r="B76" s="1"/>
      <c r="C76" s="1"/>
      <c r="D76" s="1"/>
      <c r="E76" s="12"/>
      <c r="F76" s="12"/>
      <c r="G76" s="1"/>
      <c r="H76" s="1"/>
    </row>
    <row r="77" spans="1:8" x14ac:dyDescent="0.2">
      <c r="A77" s="13" t="s">
        <v>84</v>
      </c>
      <c r="B77" s="13" t="s">
        <v>5</v>
      </c>
      <c r="C77" s="13" t="s">
        <v>6</v>
      </c>
      <c r="D77" s="14" t="s">
        <v>7</v>
      </c>
      <c r="E77" s="14" t="s">
        <v>8</v>
      </c>
      <c r="F77" s="1"/>
      <c r="G77" s="1"/>
      <c r="H77" s="1"/>
    </row>
    <row r="78" spans="1:8" x14ac:dyDescent="0.2">
      <c r="A78" s="5" t="s">
        <v>85</v>
      </c>
      <c r="B78" s="18" t="s">
        <v>86</v>
      </c>
      <c r="C78" s="19">
        <v>2</v>
      </c>
      <c r="D78" s="20">
        <v>161.66999999999999</v>
      </c>
      <c r="E78" s="20">
        <f t="shared" ref="E78:E95" si="6">C78*D78</f>
        <v>323.33999999999997</v>
      </c>
      <c r="F78" s="1"/>
      <c r="G78" s="1"/>
      <c r="H78" s="1"/>
    </row>
    <row r="79" spans="1:8" x14ac:dyDescent="0.2">
      <c r="A79" s="5" t="s">
        <v>87</v>
      </c>
      <c r="B79" s="18" t="s">
        <v>10</v>
      </c>
      <c r="C79" s="19">
        <v>3</v>
      </c>
      <c r="D79" s="20">
        <v>81.319999999999993</v>
      </c>
      <c r="E79" s="20">
        <f t="shared" si="6"/>
        <v>243.95999999999998</v>
      </c>
      <c r="F79" s="1"/>
      <c r="G79" s="1"/>
      <c r="H79" s="1"/>
    </row>
    <row r="80" spans="1:8" x14ac:dyDescent="0.2">
      <c r="A80" s="5" t="s">
        <v>88</v>
      </c>
      <c r="B80" s="18" t="s">
        <v>10</v>
      </c>
      <c r="C80" s="19">
        <v>3</v>
      </c>
      <c r="D80" s="20">
        <v>24.51</v>
      </c>
      <c r="E80" s="20">
        <f t="shared" si="6"/>
        <v>73.53</v>
      </c>
      <c r="F80" s="1"/>
      <c r="G80" s="1"/>
      <c r="H80" s="1"/>
    </row>
    <row r="81" spans="1:8" x14ac:dyDescent="0.2">
      <c r="A81" s="5" t="s">
        <v>89</v>
      </c>
      <c r="B81" s="18" t="s">
        <v>10</v>
      </c>
      <c r="C81" s="19">
        <v>3</v>
      </c>
      <c r="D81" s="20">
        <v>26.6</v>
      </c>
      <c r="E81" s="20">
        <f t="shared" si="6"/>
        <v>79.800000000000011</v>
      </c>
      <c r="F81" s="1"/>
      <c r="G81" s="1"/>
      <c r="H81" s="1"/>
    </row>
    <row r="82" spans="1:8" x14ac:dyDescent="0.2">
      <c r="A82" s="5" t="s">
        <v>90</v>
      </c>
      <c r="B82" s="18" t="s">
        <v>10</v>
      </c>
      <c r="C82" s="18">
        <v>1</v>
      </c>
      <c r="D82" s="20">
        <v>173</v>
      </c>
      <c r="E82" s="20">
        <f t="shared" si="6"/>
        <v>173</v>
      </c>
      <c r="F82" s="1"/>
      <c r="G82" s="1"/>
      <c r="H82" s="1"/>
    </row>
    <row r="83" spans="1:8" x14ac:dyDescent="0.2">
      <c r="A83" s="5" t="s">
        <v>91</v>
      </c>
      <c r="B83" s="18" t="s">
        <v>10</v>
      </c>
      <c r="C83" s="18">
        <v>2</v>
      </c>
      <c r="D83" s="20">
        <v>250.65</v>
      </c>
      <c r="E83" s="20">
        <f t="shared" si="6"/>
        <v>501.3</v>
      </c>
      <c r="F83" s="1"/>
      <c r="G83" s="1"/>
      <c r="H83" s="1"/>
    </row>
    <row r="84" spans="1:8" x14ac:dyDescent="0.2">
      <c r="A84" s="5" t="s">
        <v>92</v>
      </c>
      <c r="B84" s="18" t="s">
        <v>10</v>
      </c>
      <c r="C84" s="18">
        <v>2</v>
      </c>
      <c r="D84" s="20">
        <v>164.41</v>
      </c>
      <c r="E84" s="20">
        <f t="shared" si="6"/>
        <v>328.82</v>
      </c>
      <c r="F84" s="1"/>
      <c r="G84" s="1"/>
      <c r="H84" s="1"/>
    </row>
    <row r="85" spans="1:8" x14ac:dyDescent="0.2">
      <c r="A85" s="5" t="s">
        <v>93</v>
      </c>
      <c r="B85" s="18" t="s">
        <v>10</v>
      </c>
      <c r="C85" s="18">
        <v>1</v>
      </c>
      <c r="D85" s="20">
        <v>30.07</v>
      </c>
      <c r="E85" s="20">
        <f t="shared" si="6"/>
        <v>30.07</v>
      </c>
      <c r="F85" s="1"/>
      <c r="G85" s="1"/>
      <c r="H85" s="1"/>
    </row>
    <row r="86" spans="1:8" x14ac:dyDescent="0.2">
      <c r="A86" s="5" t="s">
        <v>94</v>
      </c>
      <c r="B86" s="18" t="s">
        <v>10</v>
      </c>
      <c r="C86" s="18">
        <v>1</v>
      </c>
      <c r="D86" s="20">
        <v>58.37</v>
      </c>
      <c r="E86" s="20">
        <f t="shared" si="6"/>
        <v>58.37</v>
      </c>
      <c r="F86" s="1"/>
      <c r="G86" s="1"/>
      <c r="H86" s="1"/>
    </row>
    <row r="87" spans="1:8" x14ac:dyDescent="0.2">
      <c r="A87" s="5" t="s">
        <v>95</v>
      </c>
      <c r="B87" s="18" t="s">
        <v>10</v>
      </c>
      <c r="C87" s="18">
        <v>2</v>
      </c>
      <c r="D87" s="20">
        <v>9.1999999999999993</v>
      </c>
      <c r="E87" s="20">
        <f t="shared" si="6"/>
        <v>18.399999999999999</v>
      </c>
      <c r="F87" s="1"/>
      <c r="G87" s="1"/>
      <c r="H87" s="1"/>
    </row>
    <row r="88" spans="1:8" x14ac:dyDescent="0.2">
      <c r="A88" s="5" t="s">
        <v>96</v>
      </c>
      <c r="B88" s="18" t="s">
        <v>10</v>
      </c>
      <c r="C88" s="18">
        <v>1</v>
      </c>
      <c r="D88" s="20">
        <v>19.989999999999998</v>
      </c>
      <c r="E88" s="20">
        <f t="shared" si="6"/>
        <v>19.989999999999998</v>
      </c>
      <c r="F88" s="1"/>
      <c r="G88" s="1"/>
      <c r="H88" s="1"/>
    </row>
    <row r="89" spans="1:8" x14ac:dyDescent="0.2">
      <c r="A89" s="5" t="s">
        <v>97</v>
      </c>
      <c r="B89" s="18" t="s">
        <v>10</v>
      </c>
      <c r="C89" s="18">
        <v>2</v>
      </c>
      <c r="D89" s="20">
        <v>28.61</v>
      </c>
      <c r="E89" s="20">
        <f t="shared" si="6"/>
        <v>57.22</v>
      </c>
      <c r="F89" s="1"/>
      <c r="G89" s="1"/>
      <c r="H89" s="1"/>
    </row>
    <row r="90" spans="1:8" x14ac:dyDescent="0.2">
      <c r="A90" s="21" t="s">
        <v>98</v>
      </c>
      <c r="B90" s="18" t="s">
        <v>10</v>
      </c>
      <c r="C90" s="22">
        <v>6</v>
      </c>
      <c r="D90" s="20">
        <v>15.14</v>
      </c>
      <c r="E90" s="20">
        <f t="shared" si="6"/>
        <v>90.84</v>
      </c>
      <c r="F90" s="1"/>
      <c r="G90" s="23"/>
      <c r="H90" s="1"/>
    </row>
    <row r="91" spans="1:8" x14ac:dyDescent="0.2">
      <c r="A91" s="5" t="s">
        <v>99</v>
      </c>
      <c r="B91" s="18" t="s">
        <v>10</v>
      </c>
      <c r="C91" s="18">
        <v>4</v>
      </c>
      <c r="D91" s="20">
        <v>36.04</v>
      </c>
      <c r="E91" s="20">
        <f t="shared" si="6"/>
        <v>144.16</v>
      </c>
      <c r="F91" s="1"/>
      <c r="G91" s="1"/>
      <c r="H91" s="1"/>
    </row>
    <row r="92" spans="1:8" x14ac:dyDescent="0.2">
      <c r="A92" s="5" t="s">
        <v>100</v>
      </c>
      <c r="B92" s="18" t="s">
        <v>10</v>
      </c>
      <c r="C92" s="18">
        <v>2</v>
      </c>
      <c r="D92" s="20">
        <v>57.76</v>
      </c>
      <c r="E92" s="20">
        <f t="shared" si="6"/>
        <v>115.52</v>
      </c>
      <c r="F92" s="1"/>
      <c r="G92" s="1"/>
      <c r="H92" s="1"/>
    </row>
    <row r="93" spans="1:8" x14ac:dyDescent="0.2">
      <c r="A93" s="5" t="s">
        <v>101</v>
      </c>
      <c r="B93" s="18" t="s">
        <v>10</v>
      </c>
      <c r="C93" s="18">
        <v>2</v>
      </c>
      <c r="D93" s="20">
        <v>132.79</v>
      </c>
      <c r="E93" s="20">
        <f t="shared" si="6"/>
        <v>265.58</v>
      </c>
      <c r="F93" s="1"/>
      <c r="G93" s="1"/>
      <c r="H93" s="1"/>
    </row>
    <row r="94" spans="1:8" x14ac:dyDescent="0.2">
      <c r="A94" s="5" t="s">
        <v>102</v>
      </c>
      <c r="B94" s="18" t="s">
        <v>86</v>
      </c>
      <c r="C94" s="18">
        <v>2</v>
      </c>
      <c r="D94" s="20">
        <v>6.91</v>
      </c>
      <c r="E94" s="20">
        <f t="shared" si="6"/>
        <v>13.82</v>
      </c>
      <c r="F94" s="1"/>
      <c r="G94" s="1"/>
      <c r="H94" s="1"/>
    </row>
    <row r="95" spans="1:8" x14ac:dyDescent="0.2">
      <c r="A95" s="5" t="s">
        <v>103</v>
      </c>
      <c r="B95" s="18" t="s">
        <v>86</v>
      </c>
      <c r="C95" s="18">
        <v>2</v>
      </c>
      <c r="D95" s="20">
        <v>6.08</v>
      </c>
      <c r="E95" s="20">
        <f t="shared" si="6"/>
        <v>12.16</v>
      </c>
      <c r="F95" s="1"/>
      <c r="G95" s="1"/>
      <c r="H95" s="1"/>
    </row>
    <row r="96" spans="1:8" x14ac:dyDescent="0.2">
      <c r="A96" s="185" t="s">
        <v>104</v>
      </c>
      <c r="B96" s="186"/>
      <c r="C96" s="186"/>
      <c r="D96" s="187"/>
      <c r="E96" s="17">
        <f>SUM(E78:E95)</f>
        <v>2549.8799999999997</v>
      </c>
      <c r="F96" s="1"/>
      <c r="G96" s="1"/>
      <c r="H96" s="1"/>
    </row>
    <row r="97" spans="1:8" x14ac:dyDescent="0.2">
      <c r="A97" s="185" t="s">
        <v>105</v>
      </c>
      <c r="B97" s="186"/>
      <c r="C97" s="186"/>
      <c r="D97" s="187"/>
      <c r="E97" s="17">
        <f>E96/12</f>
        <v>212.48999999999998</v>
      </c>
      <c r="F97" s="12"/>
      <c r="G97" s="1"/>
      <c r="H97" s="1"/>
    </row>
    <row r="100" spans="1:8" ht="15" customHeight="1" x14ac:dyDescent="0.25">
      <c r="A100" s="188" t="s">
        <v>106</v>
      </c>
      <c r="B100" s="184"/>
      <c r="C100" s="184"/>
      <c r="D100" s="184"/>
      <c r="E100" s="171"/>
    </row>
    <row r="101" spans="1:8" x14ac:dyDescent="0.2">
      <c r="A101" s="13" t="s">
        <v>84</v>
      </c>
      <c r="B101" s="24" t="s">
        <v>5</v>
      </c>
      <c r="C101" s="24" t="s">
        <v>6</v>
      </c>
      <c r="D101" s="25" t="s">
        <v>7</v>
      </c>
      <c r="E101" s="25" t="s">
        <v>8</v>
      </c>
    </row>
    <row r="102" spans="1:8" x14ac:dyDescent="0.2">
      <c r="A102" s="26" t="s">
        <v>85</v>
      </c>
      <c r="B102" s="18" t="s">
        <v>86</v>
      </c>
      <c r="C102" s="19">
        <v>2</v>
      </c>
      <c r="D102" s="20">
        <v>161.66999999999999</v>
      </c>
      <c r="E102" s="20">
        <f t="shared" ref="E102:E115" si="7">C102*D102</f>
        <v>323.33999999999997</v>
      </c>
    </row>
    <row r="103" spans="1:8" x14ac:dyDescent="0.2">
      <c r="A103" s="26" t="s">
        <v>87</v>
      </c>
      <c r="B103" s="18" t="s">
        <v>10</v>
      </c>
      <c r="C103" s="19">
        <v>3</v>
      </c>
      <c r="D103" s="20">
        <v>81.319999999999993</v>
      </c>
      <c r="E103" s="20">
        <f t="shared" si="7"/>
        <v>243.95999999999998</v>
      </c>
    </row>
    <row r="104" spans="1:8" x14ac:dyDescent="0.2">
      <c r="A104" s="26" t="s">
        <v>88</v>
      </c>
      <c r="B104" s="18" t="s">
        <v>10</v>
      </c>
      <c r="C104" s="19">
        <v>3</v>
      </c>
      <c r="D104" s="20">
        <v>24.51</v>
      </c>
      <c r="E104" s="20">
        <f t="shared" si="7"/>
        <v>73.53</v>
      </c>
    </row>
    <row r="105" spans="1:8" x14ac:dyDescent="0.2">
      <c r="A105" s="26" t="s">
        <v>89</v>
      </c>
      <c r="B105" s="18" t="s">
        <v>10</v>
      </c>
      <c r="C105" s="19">
        <v>3</v>
      </c>
      <c r="D105" s="20">
        <v>26.6</v>
      </c>
      <c r="E105" s="20">
        <f t="shared" si="7"/>
        <v>79.800000000000011</v>
      </c>
    </row>
    <row r="106" spans="1:8" x14ac:dyDescent="0.2">
      <c r="A106" s="26" t="s">
        <v>94</v>
      </c>
      <c r="B106" s="18" t="s">
        <v>10</v>
      </c>
      <c r="C106" s="18">
        <v>1</v>
      </c>
      <c r="D106" s="20">
        <v>58.37</v>
      </c>
      <c r="E106" s="20">
        <f t="shared" si="7"/>
        <v>58.37</v>
      </c>
    </row>
    <row r="107" spans="1:8" x14ac:dyDescent="0.2">
      <c r="A107" s="26" t="s">
        <v>95</v>
      </c>
      <c r="B107" s="18" t="s">
        <v>10</v>
      </c>
      <c r="C107" s="18">
        <v>2</v>
      </c>
      <c r="D107" s="20">
        <v>9.1999999999999993</v>
      </c>
      <c r="E107" s="20">
        <f t="shared" si="7"/>
        <v>18.399999999999999</v>
      </c>
    </row>
    <row r="108" spans="1:8" x14ac:dyDescent="0.2">
      <c r="A108" s="26" t="s">
        <v>96</v>
      </c>
      <c r="B108" s="18" t="s">
        <v>10</v>
      </c>
      <c r="C108" s="18">
        <v>1</v>
      </c>
      <c r="D108" s="20">
        <v>19.989999999999998</v>
      </c>
      <c r="E108" s="20">
        <f t="shared" si="7"/>
        <v>19.989999999999998</v>
      </c>
    </row>
    <row r="109" spans="1:8" x14ac:dyDescent="0.2">
      <c r="A109" s="26" t="s">
        <v>99</v>
      </c>
      <c r="B109" s="18" t="s">
        <v>10</v>
      </c>
      <c r="C109" s="18">
        <v>4</v>
      </c>
      <c r="D109" s="20">
        <v>36.04</v>
      </c>
      <c r="E109" s="20">
        <f t="shared" si="7"/>
        <v>144.16</v>
      </c>
    </row>
    <row r="110" spans="1:8" x14ac:dyDescent="0.2">
      <c r="A110" s="27" t="s">
        <v>98</v>
      </c>
      <c r="B110" s="18" t="s">
        <v>10</v>
      </c>
      <c r="C110" s="18">
        <v>12</v>
      </c>
      <c r="D110" s="20">
        <v>15.14</v>
      </c>
      <c r="E110" s="20">
        <f t="shared" si="7"/>
        <v>181.68</v>
      </c>
    </row>
    <row r="111" spans="1:8" x14ac:dyDescent="0.2">
      <c r="A111" s="26" t="s">
        <v>100</v>
      </c>
      <c r="B111" s="18" t="s">
        <v>10</v>
      </c>
      <c r="C111" s="18">
        <v>2</v>
      </c>
      <c r="D111" s="20">
        <v>57.76</v>
      </c>
      <c r="E111" s="20">
        <f t="shared" si="7"/>
        <v>115.52</v>
      </c>
    </row>
    <row r="112" spans="1:8" x14ac:dyDescent="0.2">
      <c r="A112" s="26" t="s">
        <v>101</v>
      </c>
      <c r="B112" s="18" t="s">
        <v>10</v>
      </c>
      <c r="C112" s="18">
        <v>2</v>
      </c>
      <c r="D112" s="20">
        <v>132.79</v>
      </c>
      <c r="E112" s="20">
        <f t="shared" si="7"/>
        <v>265.58</v>
      </c>
    </row>
    <row r="113" spans="1:6" x14ac:dyDescent="0.2">
      <c r="A113" s="26" t="s">
        <v>102</v>
      </c>
      <c r="B113" s="18" t="s">
        <v>86</v>
      </c>
      <c r="C113" s="18">
        <v>2</v>
      </c>
      <c r="D113" s="20">
        <v>6.91</v>
      </c>
      <c r="E113" s="20">
        <f t="shared" si="7"/>
        <v>13.82</v>
      </c>
    </row>
    <row r="114" spans="1:6" x14ac:dyDescent="0.2">
      <c r="A114" s="26" t="s">
        <v>103</v>
      </c>
      <c r="B114" s="18" t="s">
        <v>86</v>
      </c>
      <c r="C114" s="18">
        <v>2</v>
      </c>
      <c r="D114" s="20">
        <v>6.08</v>
      </c>
      <c r="E114" s="20">
        <f t="shared" si="7"/>
        <v>12.16</v>
      </c>
    </row>
    <row r="115" spans="1:6" x14ac:dyDescent="0.2">
      <c r="A115" s="26" t="s">
        <v>97</v>
      </c>
      <c r="B115" s="28" t="s">
        <v>10</v>
      </c>
      <c r="C115" s="18">
        <v>2</v>
      </c>
      <c r="D115" s="20">
        <v>28.61</v>
      </c>
      <c r="E115" s="20">
        <f t="shared" si="7"/>
        <v>57.22</v>
      </c>
    </row>
    <row r="116" spans="1:6" x14ac:dyDescent="0.2">
      <c r="A116" s="185" t="s">
        <v>104</v>
      </c>
      <c r="B116" s="186"/>
      <c r="C116" s="186"/>
      <c r="D116" s="187"/>
      <c r="E116" s="17">
        <f>SUM(E102:E115)</f>
        <v>1607.5299999999997</v>
      </c>
    </row>
    <row r="117" spans="1:6" x14ac:dyDescent="0.2">
      <c r="A117" s="185" t="s">
        <v>105</v>
      </c>
      <c r="B117" s="186"/>
      <c r="C117" s="186"/>
      <c r="D117" s="187"/>
      <c r="E117" s="17">
        <f>E116/12</f>
        <v>133.96083333333331</v>
      </c>
    </row>
    <row r="119" spans="1:6" x14ac:dyDescent="0.2">
      <c r="A119" s="183" t="s">
        <v>107</v>
      </c>
      <c r="B119" s="184"/>
      <c r="C119" s="184"/>
      <c r="D119" s="184"/>
      <c r="E119" s="171"/>
    </row>
    <row r="120" spans="1:6" x14ac:dyDescent="0.2">
      <c r="A120" s="2" t="s">
        <v>4</v>
      </c>
      <c r="B120" s="3" t="s">
        <v>5</v>
      </c>
      <c r="C120" s="3" t="s">
        <v>6</v>
      </c>
      <c r="D120" s="4" t="s">
        <v>7</v>
      </c>
      <c r="E120" s="4" t="s">
        <v>8</v>
      </c>
      <c r="F120" s="1"/>
    </row>
    <row r="121" spans="1:6" x14ac:dyDescent="0.2">
      <c r="A121" s="29" t="s">
        <v>108</v>
      </c>
      <c r="B121" s="18" t="s">
        <v>10</v>
      </c>
      <c r="C121" s="18">
        <v>1</v>
      </c>
      <c r="D121" s="30">
        <v>34.76</v>
      </c>
      <c r="E121" s="20">
        <f t="shared" ref="E121:E144" si="8">C121*D121</f>
        <v>34.76</v>
      </c>
      <c r="F121" s="1"/>
    </row>
    <row r="122" spans="1:6" x14ac:dyDescent="0.2">
      <c r="A122" s="29" t="s">
        <v>109</v>
      </c>
      <c r="B122" s="18" t="s">
        <v>10</v>
      </c>
      <c r="C122" s="18">
        <v>1</v>
      </c>
      <c r="D122" s="30">
        <v>62.53</v>
      </c>
      <c r="E122" s="20">
        <f t="shared" si="8"/>
        <v>62.53</v>
      </c>
      <c r="F122" s="1"/>
    </row>
    <row r="123" spans="1:6" x14ac:dyDescent="0.2">
      <c r="A123" s="29" t="s">
        <v>110</v>
      </c>
      <c r="B123" s="18" t="s">
        <v>10</v>
      </c>
      <c r="C123" s="18">
        <v>1</v>
      </c>
      <c r="D123" s="30">
        <v>40.64</v>
      </c>
      <c r="E123" s="20">
        <f t="shared" si="8"/>
        <v>40.64</v>
      </c>
      <c r="F123" s="1"/>
    </row>
    <row r="124" spans="1:6" x14ac:dyDescent="0.2">
      <c r="A124" s="29" t="s">
        <v>111</v>
      </c>
      <c r="B124" s="18" t="s">
        <v>10</v>
      </c>
      <c r="C124" s="18">
        <v>1</v>
      </c>
      <c r="D124" s="30">
        <v>48.18</v>
      </c>
      <c r="E124" s="20">
        <f t="shared" si="8"/>
        <v>48.18</v>
      </c>
      <c r="F124" s="1"/>
    </row>
    <row r="125" spans="1:6" x14ac:dyDescent="0.2">
      <c r="A125" s="29" t="s">
        <v>112</v>
      </c>
      <c r="B125" s="18" t="s">
        <v>10</v>
      </c>
      <c r="C125" s="18">
        <v>1</v>
      </c>
      <c r="D125" s="30">
        <v>43.12</v>
      </c>
      <c r="E125" s="20">
        <f t="shared" si="8"/>
        <v>43.12</v>
      </c>
      <c r="F125" s="1"/>
    </row>
    <row r="126" spans="1:6" x14ac:dyDescent="0.2">
      <c r="A126" s="29" t="s">
        <v>113</v>
      </c>
      <c r="B126" s="18" t="s">
        <v>10</v>
      </c>
      <c r="C126" s="18">
        <v>1</v>
      </c>
      <c r="D126" s="30">
        <v>35.369999999999997</v>
      </c>
      <c r="E126" s="20">
        <f t="shared" si="8"/>
        <v>35.369999999999997</v>
      </c>
      <c r="F126" s="1"/>
    </row>
    <row r="127" spans="1:6" x14ac:dyDescent="0.2">
      <c r="A127" s="29" t="s">
        <v>114</v>
      </c>
      <c r="B127" s="18" t="s">
        <v>10</v>
      </c>
      <c r="C127" s="18">
        <v>1</v>
      </c>
      <c r="D127" s="30">
        <v>59.65</v>
      </c>
      <c r="E127" s="20">
        <f t="shared" si="8"/>
        <v>59.65</v>
      </c>
      <c r="F127" s="1"/>
    </row>
    <row r="128" spans="1:6" x14ac:dyDescent="0.2">
      <c r="A128" s="29" t="s">
        <v>115</v>
      </c>
      <c r="B128" s="18" t="s">
        <v>10</v>
      </c>
      <c r="C128" s="18">
        <v>2</v>
      </c>
      <c r="D128" s="30">
        <v>156.30000000000001</v>
      </c>
      <c r="E128" s="20">
        <f t="shared" si="8"/>
        <v>312.60000000000002</v>
      </c>
      <c r="F128" s="1"/>
    </row>
    <row r="129" spans="1:6" x14ac:dyDescent="0.2">
      <c r="A129" s="29" t="s">
        <v>116</v>
      </c>
      <c r="B129" s="18" t="s">
        <v>10</v>
      </c>
      <c r="C129" s="18">
        <v>1</v>
      </c>
      <c r="D129" s="30">
        <v>45.02</v>
      </c>
      <c r="E129" s="20">
        <f t="shared" si="8"/>
        <v>45.02</v>
      </c>
      <c r="F129" s="1"/>
    </row>
    <row r="130" spans="1:6" x14ac:dyDescent="0.2">
      <c r="A130" s="29" t="s">
        <v>117</v>
      </c>
      <c r="B130" s="18" t="s">
        <v>10</v>
      </c>
      <c r="C130" s="18">
        <v>1</v>
      </c>
      <c r="D130" s="30">
        <v>89.97</v>
      </c>
      <c r="E130" s="20">
        <f t="shared" si="8"/>
        <v>89.97</v>
      </c>
      <c r="F130" s="1"/>
    </row>
    <row r="131" spans="1:6" x14ac:dyDescent="0.2">
      <c r="A131" s="29" t="s">
        <v>118</v>
      </c>
      <c r="B131" s="18" t="s">
        <v>10</v>
      </c>
      <c r="C131" s="18">
        <v>1</v>
      </c>
      <c r="D131" s="30">
        <v>54.97</v>
      </c>
      <c r="E131" s="20">
        <f t="shared" si="8"/>
        <v>54.97</v>
      </c>
      <c r="F131" s="1"/>
    </row>
    <row r="132" spans="1:6" x14ac:dyDescent="0.2">
      <c r="A132" s="29" t="s">
        <v>42</v>
      </c>
      <c r="B132" s="18" t="s">
        <v>10</v>
      </c>
      <c r="C132" s="18">
        <v>1</v>
      </c>
      <c r="D132" s="30">
        <v>43.37</v>
      </c>
      <c r="E132" s="20">
        <f t="shared" si="8"/>
        <v>43.37</v>
      </c>
      <c r="F132" s="1"/>
    </row>
    <row r="133" spans="1:6" x14ac:dyDescent="0.2">
      <c r="A133" s="29" t="s">
        <v>119</v>
      </c>
      <c r="B133" s="18" t="s">
        <v>10</v>
      </c>
      <c r="C133" s="18">
        <v>1</v>
      </c>
      <c r="D133" s="30">
        <v>336.68</v>
      </c>
      <c r="E133" s="20">
        <f t="shared" si="8"/>
        <v>336.68</v>
      </c>
      <c r="F133" s="1"/>
    </row>
    <row r="134" spans="1:6" x14ac:dyDescent="0.2">
      <c r="A134" s="29" t="s">
        <v>120</v>
      </c>
      <c r="B134" s="18" t="s">
        <v>121</v>
      </c>
      <c r="C134" s="6">
        <v>12</v>
      </c>
      <c r="D134" s="31">
        <v>22.22</v>
      </c>
      <c r="E134" s="7">
        <f t="shared" si="8"/>
        <v>266.64</v>
      </c>
      <c r="F134" s="1"/>
    </row>
    <row r="135" spans="1:6" x14ac:dyDescent="0.2">
      <c r="A135" s="29" t="s">
        <v>122</v>
      </c>
      <c r="B135" s="18" t="s">
        <v>10</v>
      </c>
      <c r="C135" s="18">
        <v>1</v>
      </c>
      <c r="D135" s="30">
        <v>29.29</v>
      </c>
      <c r="E135" s="20">
        <f t="shared" si="8"/>
        <v>29.29</v>
      </c>
      <c r="F135" s="1"/>
    </row>
    <row r="136" spans="1:6" x14ac:dyDescent="0.2">
      <c r="A136" s="29" t="s">
        <v>123</v>
      </c>
      <c r="B136" s="18" t="s">
        <v>10</v>
      </c>
      <c r="C136" s="18">
        <v>1</v>
      </c>
      <c r="D136" s="30">
        <v>27.2</v>
      </c>
      <c r="E136" s="20">
        <f t="shared" si="8"/>
        <v>27.2</v>
      </c>
      <c r="F136" s="1"/>
    </row>
    <row r="137" spans="1:6" x14ac:dyDescent="0.2">
      <c r="A137" s="29" t="s">
        <v>124</v>
      </c>
      <c r="B137" s="18" t="s">
        <v>10</v>
      </c>
      <c r="C137" s="18">
        <v>1</v>
      </c>
      <c r="D137" s="30">
        <v>86.04</v>
      </c>
      <c r="E137" s="20">
        <f t="shared" si="8"/>
        <v>86.04</v>
      </c>
      <c r="F137" s="1"/>
    </row>
    <row r="138" spans="1:6" x14ac:dyDescent="0.2">
      <c r="A138" s="29" t="s">
        <v>125</v>
      </c>
      <c r="B138" s="18" t="s">
        <v>10</v>
      </c>
      <c r="C138" s="18">
        <v>1</v>
      </c>
      <c r="D138" s="30">
        <v>33.85</v>
      </c>
      <c r="E138" s="20">
        <f t="shared" si="8"/>
        <v>33.85</v>
      </c>
      <c r="F138" s="1"/>
    </row>
    <row r="139" spans="1:6" x14ac:dyDescent="0.2">
      <c r="A139" s="29" t="s">
        <v>126</v>
      </c>
      <c r="B139" s="18" t="s">
        <v>10</v>
      </c>
      <c r="C139" s="18">
        <v>1</v>
      </c>
      <c r="D139" s="30">
        <v>30.19</v>
      </c>
      <c r="E139" s="20">
        <f t="shared" si="8"/>
        <v>30.19</v>
      </c>
      <c r="F139" s="1"/>
    </row>
    <row r="140" spans="1:6" x14ac:dyDescent="0.2">
      <c r="A140" s="29" t="s">
        <v>127</v>
      </c>
      <c r="B140" s="18" t="s">
        <v>10</v>
      </c>
      <c r="C140" s="18">
        <v>12</v>
      </c>
      <c r="D140" s="20">
        <v>107.97</v>
      </c>
      <c r="E140" s="20">
        <f t="shared" si="8"/>
        <v>1295.6399999999999</v>
      </c>
      <c r="F140" s="1"/>
    </row>
    <row r="141" spans="1:6" x14ac:dyDescent="0.2">
      <c r="A141" s="29" t="s">
        <v>128</v>
      </c>
      <c r="B141" s="18" t="s">
        <v>10</v>
      </c>
      <c r="C141" s="18">
        <v>1</v>
      </c>
      <c r="D141" s="20">
        <v>52.34</v>
      </c>
      <c r="E141" s="20">
        <f t="shared" si="8"/>
        <v>52.34</v>
      </c>
      <c r="F141" s="1"/>
    </row>
    <row r="142" spans="1:6" x14ac:dyDescent="0.2">
      <c r="A142" s="29" t="s">
        <v>129</v>
      </c>
      <c r="B142" s="18" t="s">
        <v>10</v>
      </c>
      <c r="C142" s="18">
        <v>1</v>
      </c>
      <c r="D142" s="20">
        <v>17.3</v>
      </c>
      <c r="E142" s="20">
        <f t="shared" si="8"/>
        <v>17.3</v>
      </c>
      <c r="F142" s="1"/>
    </row>
    <row r="143" spans="1:6" x14ac:dyDescent="0.2">
      <c r="A143" s="29" t="s">
        <v>130</v>
      </c>
      <c r="B143" s="18" t="s">
        <v>10</v>
      </c>
      <c r="C143" s="18">
        <v>12</v>
      </c>
      <c r="D143" s="20">
        <v>75.97</v>
      </c>
      <c r="E143" s="20">
        <f t="shared" si="8"/>
        <v>911.64</v>
      </c>
      <c r="F143" s="1"/>
    </row>
    <row r="144" spans="1:6" x14ac:dyDescent="0.2">
      <c r="A144" s="29" t="s">
        <v>131</v>
      </c>
      <c r="B144" s="18" t="s">
        <v>10</v>
      </c>
      <c r="C144" s="18">
        <v>3</v>
      </c>
      <c r="D144" s="20">
        <v>138.75</v>
      </c>
      <c r="E144" s="20">
        <f t="shared" si="8"/>
        <v>416.25</v>
      </c>
      <c r="F144" s="1"/>
    </row>
    <row r="145" spans="1:7" x14ac:dyDescent="0.2">
      <c r="A145" s="185" t="s">
        <v>62</v>
      </c>
      <c r="B145" s="186"/>
      <c r="C145" s="186"/>
      <c r="D145" s="187"/>
      <c r="E145" s="32">
        <f>SUM(E121:E144)</f>
        <v>4373.24</v>
      </c>
      <c r="F145" s="1"/>
    </row>
    <row r="146" spans="1:7" x14ac:dyDescent="0.2">
      <c r="A146" s="185" t="s">
        <v>63</v>
      </c>
      <c r="B146" s="186"/>
      <c r="C146" s="186"/>
      <c r="D146" s="187"/>
      <c r="E146" s="32">
        <f>E145/12</f>
        <v>364.43666666666667</v>
      </c>
      <c r="F146" s="1"/>
    </row>
    <row r="147" spans="1:7" x14ac:dyDescent="0.2">
      <c r="A147" s="10"/>
      <c r="B147" s="10"/>
      <c r="C147" s="10"/>
      <c r="D147" s="10"/>
      <c r="E147" s="33"/>
      <c r="F147" s="10"/>
    </row>
    <row r="148" spans="1:7" x14ac:dyDescent="0.2">
      <c r="A148" s="2" t="s">
        <v>132</v>
      </c>
      <c r="B148" s="3" t="s">
        <v>5</v>
      </c>
      <c r="C148" s="3" t="s">
        <v>133</v>
      </c>
      <c r="D148" s="3" t="s">
        <v>6</v>
      </c>
      <c r="E148" s="4" t="s">
        <v>7</v>
      </c>
      <c r="F148" s="4" t="s">
        <v>8</v>
      </c>
    </row>
    <row r="149" spans="1:7" x14ac:dyDescent="0.2">
      <c r="A149" s="29" t="s">
        <v>134</v>
      </c>
      <c r="B149" s="6" t="s">
        <v>135</v>
      </c>
      <c r="C149" s="34">
        <v>25</v>
      </c>
      <c r="D149" s="34">
        <f t="shared" ref="D149:D150" si="9">C149*12</f>
        <v>300</v>
      </c>
      <c r="E149" s="31">
        <v>5.68</v>
      </c>
      <c r="F149" s="31">
        <f t="shared" ref="F149:F150" si="10">D149*E149</f>
        <v>1704</v>
      </c>
    </row>
    <row r="150" spans="1:7" x14ac:dyDescent="0.2">
      <c r="A150" s="35" t="s">
        <v>136</v>
      </c>
      <c r="B150" s="36" t="s">
        <v>137</v>
      </c>
      <c r="C150" s="37">
        <v>2</v>
      </c>
      <c r="D150" s="37">
        <f t="shared" si="9"/>
        <v>24</v>
      </c>
      <c r="E150" s="38">
        <v>21.12</v>
      </c>
      <c r="F150" s="38">
        <f t="shared" si="10"/>
        <v>506.88</v>
      </c>
    </row>
    <row r="151" spans="1:7" x14ac:dyDescent="0.2">
      <c r="A151" s="189" t="s">
        <v>138</v>
      </c>
      <c r="B151" s="184"/>
      <c r="C151" s="184"/>
      <c r="D151" s="184"/>
      <c r="E151" s="171"/>
      <c r="F151" s="39">
        <f>SUM(F149:F150)</f>
        <v>2210.88</v>
      </c>
    </row>
    <row r="152" spans="1:7" x14ac:dyDescent="0.2">
      <c r="A152" s="189" t="s">
        <v>139</v>
      </c>
      <c r="B152" s="184"/>
      <c r="C152" s="184"/>
      <c r="D152" s="184"/>
      <c r="E152" s="171"/>
      <c r="F152" s="40">
        <f>F151/12</f>
        <v>184.24</v>
      </c>
    </row>
    <row r="153" spans="1:7" x14ac:dyDescent="0.2">
      <c r="A153" s="1"/>
      <c r="B153" s="1"/>
      <c r="C153" s="1"/>
      <c r="D153" s="1"/>
      <c r="E153" s="12"/>
      <c r="F153" s="12"/>
    </row>
    <row r="154" spans="1:7" x14ac:dyDescent="0.2">
      <c r="A154" s="13" t="s">
        <v>72</v>
      </c>
      <c r="B154" s="13" t="s">
        <v>5</v>
      </c>
      <c r="C154" s="13" t="s">
        <v>73</v>
      </c>
      <c r="D154" s="13" t="s">
        <v>74</v>
      </c>
      <c r="E154" s="13" t="s">
        <v>6</v>
      </c>
      <c r="F154" s="14" t="s">
        <v>7</v>
      </c>
      <c r="G154" s="14" t="s">
        <v>8</v>
      </c>
    </row>
    <row r="155" spans="1:7" x14ac:dyDescent="0.2">
      <c r="A155" s="41" t="s">
        <v>140</v>
      </c>
      <c r="B155" s="42" t="s">
        <v>10</v>
      </c>
      <c r="C155" s="43">
        <v>1</v>
      </c>
      <c r="D155" s="44">
        <v>24</v>
      </c>
      <c r="E155" s="45">
        <f t="shared" ref="E155:E157" si="11">12/D155*C155</f>
        <v>0.5</v>
      </c>
      <c r="F155" s="46">
        <v>2379.04</v>
      </c>
      <c r="G155" s="46">
        <f t="shared" ref="G155:G157" si="12">E155*F155</f>
        <v>1189.52</v>
      </c>
    </row>
    <row r="156" spans="1:7" x14ac:dyDescent="0.2">
      <c r="A156" s="29" t="s">
        <v>141</v>
      </c>
      <c r="B156" s="18" t="s">
        <v>10</v>
      </c>
      <c r="C156" s="22">
        <v>1</v>
      </c>
      <c r="D156" s="47">
        <v>24</v>
      </c>
      <c r="E156" s="48">
        <f t="shared" si="11"/>
        <v>0.5</v>
      </c>
      <c r="F156" s="49">
        <v>896.68</v>
      </c>
      <c r="G156" s="49">
        <f t="shared" si="12"/>
        <v>448.34</v>
      </c>
    </row>
    <row r="157" spans="1:7" x14ac:dyDescent="0.2">
      <c r="A157" s="29" t="s">
        <v>142</v>
      </c>
      <c r="B157" s="18" t="s">
        <v>10</v>
      </c>
      <c r="C157" s="22">
        <v>1</v>
      </c>
      <c r="D157" s="47">
        <v>24</v>
      </c>
      <c r="E157" s="48">
        <f t="shared" si="11"/>
        <v>0.5</v>
      </c>
      <c r="F157" s="49">
        <v>495.97</v>
      </c>
      <c r="G157" s="49">
        <f t="shared" si="12"/>
        <v>247.98500000000001</v>
      </c>
    </row>
    <row r="158" spans="1:7" x14ac:dyDescent="0.2">
      <c r="A158" s="190" t="s">
        <v>82</v>
      </c>
      <c r="B158" s="186"/>
      <c r="C158" s="186"/>
      <c r="D158" s="186"/>
      <c r="E158" s="186"/>
      <c r="F158" s="187"/>
      <c r="G158" s="39">
        <f>SUM(G155:G157)</f>
        <v>1885.8449999999998</v>
      </c>
    </row>
    <row r="159" spans="1:7" x14ac:dyDescent="0.2">
      <c r="A159" s="190" t="s">
        <v>83</v>
      </c>
      <c r="B159" s="186"/>
      <c r="C159" s="186"/>
      <c r="D159" s="186"/>
      <c r="E159" s="186"/>
      <c r="F159" s="187"/>
      <c r="G159" s="40">
        <f>G158/12</f>
        <v>157.15374999999997</v>
      </c>
    </row>
    <row r="160" spans="1:7" x14ac:dyDescent="0.2">
      <c r="A160" s="1"/>
      <c r="B160" s="1"/>
      <c r="C160" s="1"/>
      <c r="D160" s="1"/>
      <c r="E160" s="12"/>
      <c r="F160" s="12"/>
    </row>
    <row r="161" spans="1:6" x14ac:dyDescent="0.2">
      <c r="A161" s="13" t="s">
        <v>84</v>
      </c>
      <c r="B161" s="13" t="s">
        <v>10</v>
      </c>
      <c r="C161" s="13" t="s">
        <v>143</v>
      </c>
      <c r="D161" s="14" t="s">
        <v>144</v>
      </c>
      <c r="E161" s="14" t="s">
        <v>145</v>
      </c>
      <c r="F161" s="1"/>
    </row>
    <row r="162" spans="1:6" x14ac:dyDescent="0.2">
      <c r="A162" s="29" t="s">
        <v>85</v>
      </c>
      <c r="B162" s="18" t="s">
        <v>86</v>
      </c>
      <c r="C162" s="22">
        <v>2</v>
      </c>
      <c r="D162" s="20">
        <v>161.66999999999999</v>
      </c>
      <c r="E162" s="20">
        <f t="shared" ref="E162:E178" si="13">C162*D162</f>
        <v>323.33999999999997</v>
      </c>
      <c r="F162" s="1"/>
    </row>
    <row r="163" spans="1:6" x14ac:dyDescent="0.2">
      <c r="A163" s="29" t="s">
        <v>146</v>
      </c>
      <c r="B163" s="18" t="s">
        <v>10</v>
      </c>
      <c r="C163" s="22">
        <v>3</v>
      </c>
      <c r="D163" s="20">
        <v>81.319999999999993</v>
      </c>
      <c r="E163" s="20">
        <f t="shared" si="13"/>
        <v>243.95999999999998</v>
      </c>
      <c r="F163" s="1"/>
    </row>
    <row r="164" spans="1:6" x14ac:dyDescent="0.2">
      <c r="A164" s="29" t="s">
        <v>88</v>
      </c>
      <c r="B164" s="18" t="s">
        <v>10</v>
      </c>
      <c r="C164" s="22">
        <v>3</v>
      </c>
      <c r="D164" s="20">
        <v>24.51</v>
      </c>
      <c r="E164" s="20">
        <f t="shared" si="13"/>
        <v>73.53</v>
      </c>
      <c r="F164" s="1"/>
    </row>
    <row r="165" spans="1:6" x14ac:dyDescent="0.2">
      <c r="A165" s="29" t="s">
        <v>89</v>
      </c>
      <c r="B165" s="18" t="s">
        <v>10</v>
      </c>
      <c r="C165" s="22">
        <v>3</v>
      </c>
      <c r="D165" s="20">
        <v>26.6</v>
      </c>
      <c r="E165" s="20">
        <f t="shared" si="13"/>
        <v>79.800000000000011</v>
      </c>
      <c r="F165" s="1"/>
    </row>
    <row r="166" spans="1:6" x14ac:dyDescent="0.2">
      <c r="A166" s="29" t="s">
        <v>147</v>
      </c>
      <c r="B166" s="18" t="s">
        <v>10</v>
      </c>
      <c r="C166" s="22">
        <v>1</v>
      </c>
      <c r="D166" s="20">
        <v>53.75</v>
      </c>
      <c r="E166" s="20">
        <f t="shared" si="13"/>
        <v>53.75</v>
      </c>
      <c r="F166" s="1"/>
    </row>
    <row r="167" spans="1:6" x14ac:dyDescent="0.2">
      <c r="A167" s="29" t="s">
        <v>96</v>
      </c>
      <c r="B167" s="18" t="s">
        <v>10</v>
      </c>
      <c r="C167" s="22">
        <v>1</v>
      </c>
      <c r="D167" s="20">
        <v>19.989999999999998</v>
      </c>
      <c r="E167" s="20">
        <f t="shared" si="13"/>
        <v>19.989999999999998</v>
      </c>
      <c r="F167" s="1"/>
    </row>
    <row r="168" spans="1:6" x14ac:dyDescent="0.2">
      <c r="A168" s="29" t="s">
        <v>148</v>
      </c>
      <c r="B168" s="18" t="s">
        <v>10</v>
      </c>
      <c r="C168" s="22">
        <v>1</v>
      </c>
      <c r="D168" s="20">
        <v>48.2</v>
      </c>
      <c r="E168" s="20">
        <f t="shared" si="13"/>
        <v>48.2</v>
      </c>
      <c r="F168" s="1"/>
    </row>
    <row r="169" spans="1:6" x14ac:dyDescent="0.2">
      <c r="A169" s="29" t="s">
        <v>149</v>
      </c>
      <c r="B169" s="18" t="s">
        <v>10</v>
      </c>
      <c r="C169" s="22">
        <v>6</v>
      </c>
      <c r="D169" s="20">
        <v>5.75</v>
      </c>
      <c r="E169" s="20">
        <f t="shared" si="13"/>
        <v>34.5</v>
      </c>
      <c r="F169" s="1"/>
    </row>
    <row r="170" spans="1:6" x14ac:dyDescent="0.2">
      <c r="A170" s="29" t="s">
        <v>150</v>
      </c>
      <c r="B170" s="18" t="s">
        <v>10</v>
      </c>
      <c r="C170" s="22">
        <v>1</v>
      </c>
      <c r="D170" s="20">
        <v>16.86</v>
      </c>
      <c r="E170" s="20">
        <f t="shared" si="13"/>
        <v>16.86</v>
      </c>
      <c r="F170" s="1"/>
    </row>
    <row r="171" spans="1:6" x14ac:dyDescent="0.2">
      <c r="A171" s="29" t="s">
        <v>95</v>
      </c>
      <c r="B171" s="18" t="s">
        <v>10</v>
      </c>
      <c r="C171" s="22">
        <v>2</v>
      </c>
      <c r="D171" s="20">
        <v>9.1999999999999993</v>
      </c>
      <c r="E171" s="20">
        <f t="shared" si="13"/>
        <v>18.399999999999999</v>
      </c>
      <c r="F171" s="1"/>
    </row>
    <row r="172" spans="1:6" x14ac:dyDescent="0.2">
      <c r="A172" s="29" t="s">
        <v>99</v>
      </c>
      <c r="B172" s="18" t="s">
        <v>10</v>
      </c>
      <c r="C172" s="22">
        <v>4</v>
      </c>
      <c r="D172" s="20">
        <v>36.04</v>
      </c>
      <c r="E172" s="20">
        <f t="shared" si="13"/>
        <v>144.16</v>
      </c>
      <c r="F172" s="1"/>
    </row>
    <row r="173" spans="1:6" x14ac:dyDescent="0.2">
      <c r="A173" s="29" t="s">
        <v>98</v>
      </c>
      <c r="B173" s="18" t="s">
        <v>10</v>
      </c>
      <c r="C173" s="22">
        <v>6</v>
      </c>
      <c r="D173" s="20">
        <v>15.14</v>
      </c>
      <c r="E173" s="20">
        <f t="shared" si="13"/>
        <v>90.84</v>
      </c>
      <c r="F173" s="1"/>
    </row>
    <row r="174" spans="1:6" x14ac:dyDescent="0.2">
      <c r="A174" s="29" t="s">
        <v>97</v>
      </c>
      <c r="B174" s="18" t="s">
        <v>10</v>
      </c>
      <c r="C174" s="22">
        <v>2</v>
      </c>
      <c r="D174" s="20">
        <v>28.61</v>
      </c>
      <c r="E174" s="20">
        <f t="shared" si="13"/>
        <v>57.22</v>
      </c>
      <c r="F174" s="1"/>
    </row>
    <row r="175" spans="1:6" x14ac:dyDescent="0.2">
      <c r="A175" s="29" t="s">
        <v>151</v>
      </c>
      <c r="B175" s="18" t="s">
        <v>10</v>
      </c>
      <c r="C175" s="22">
        <v>1</v>
      </c>
      <c r="D175" s="20">
        <v>21.8</v>
      </c>
      <c r="E175" s="20">
        <f t="shared" si="13"/>
        <v>21.8</v>
      </c>
      <c r="F175" s="1"/>
    </row>
    <row r="176" spans="1:6" x14ac:dyDescent="0.2">
      <c r="A176" s="29" t="s">
        <v>152</v>
      </c>
      <c r="B176" s="18" t="s">
        <v>10</v>
      </c>
      <c r="C176" s="22">
        <v>1</v>
      </c>
      <c r="D176" s="20">
        <v>28.56</v>
      </c>
      <c r="E176" s="20">
        <f t="shared" si="13"/>
        <v>28.56</v>
      </c>
      <c r="F176" s="1"/>
    </row>
    <row r="177" spans="1:8" x14ac:dyDescent="0.2">
      <c r="A177" s="29" t="s">
        <v>100</v>
      </c>
      <c r="B177" s="18" t="s">
        <v>10</v>
      </c>
      <c r="C177" s="22">
        <v>2</v>
      </c>
      <c r="D177" s="20">
        <v>57.76</v>
      </c>
      <c r="E177" s="20">
        <f t="shared" si="13"/>
        <v>115.52</v>
      </c>
      <c r="F177" s="1"/>
    </row>
    <row r="178" spans="1:8" x14ac:dyDescent="0.2">
      <c r="A178" s="29" t="s">
        <v>101</v>
      </c>
      <c r="B178" s="18" t="s">
        <v>10</v>
      </c>
      <c r="C178" s="22">
        <v>2</v>
      </c>
      <c r="D178" s="20">
        <v>132.79</v>
      </c>
      <c r="E178" s="20">
        <f t="shared" si="13"/>
        <v>265.58</v>
      </c>
      <c r="F178" s="1"/>
    </row>
    <row r="179" spans="1:8" x14ac:dyDescent="0.2">
      <c r="A179" s="190" t="s">
        <v>104</v>
      </c>
      <c r="B179" s="186"/>
      <c r="C179" s="186"/>
      <c r="D179" s="187"/>
      <c r="E179" s="50">
        <f>SUM(E162:E178)</f>
        <v>1636.0099999999998</v>
      </c>
      <c r="F179" s="1"/>
    </row>
    <row r="180" spans="1:8" x14ac:dyDescent="0.2">
      <c r="A180" s="190" t="s">
        <v>105</v>
      </c>
      <c r="B180" s="186"/>
      <c r="C180" s="186"/>
      <c r="D180" s="187"/>
      <c r="E180" s="50">
        <f>E179/12</f>
        <v>136.33416666666665</v>
      </c>
      <c r="F180" s="12"/>
    </row>
    <row r="182" spans="1:8" ht="15" customHeight="1" x14ac:dyDescent="0.25">
      <c r="A182" s="51" t="s">
        <v>153</v>
      </c>
      <c r="B182" s="191" t="s">
        <v>8</v>
      </c>
      <c r="C182" s="171"/>
      <c r="D182" s="191" t="s">
        <v>154</v>
      </c>
      <c r="E182" s="171"/>
      <c r="F182" s="191" t="s">
        <v>155</v>
      </c>
      <c r="G182" s="171"/>
    </row>
    <row r="183" spans="1:8" x14ac:dyDescent="0.2">
      <c r="A183" s="52" t="s">
        <v>156</v>
      </c>
      <c r="B183" s="173">
        <f>(E56+G63+G74+E96)</f>
        <v>21390.105</v>
      </c>
      <c r="C183" s="171"/>
      <c r="D183" s="174">
        <f>(E57+G64+G75+E97)</f>
        <v>1782.5087500000002</v>
      </c>
      <c r="E183" s="171"/>
      <c r="F183" s="174">
        <f t="shared" ref="F183:F195" si="14">B183/12</f>
        <v>1782.50875</v>
      </c>
      <c r="G183" s="171"/>
      <c r="H183" s="53"/>
    </row>
    <row r="184" spans="1:8" x14ac:dyDescent="0.2">
      <c r="A184" s="54" t="s">
        <v>157</v>
      </c>
      <c r="B184" s="172">
        <f>E56</f>
        <v>4692.9399999999996</v>
      </c>
      <c r="C184" s="171"/>
      <c r="D184" s="172">
        <f>E57</f>
        <v>391.07833333333332</v>
      </c>
      <c r="E184" s="171"/>
      <c r="F184" s="172">
        <f t="shared" si="14"/>
        <v>391.07833333333332</v>
      </c>
      <c r="G184" s="171"/>
    </row>
    <row r="185" spans="1:8" x14ac:dyDescent="0.2">
      <c r="A185" s="54" t="s">
        <v>158</v>
      </c>
      <c r="B185" s="172">
        <f>G63</f>
        <v>12592.720000000001</v>
      </c>
      <c r="C185" s="171"/>
      <c r="D185" s="172">
        <f>G64</f>
        <v>1049.3933333333334</v>
      </c>
      <c r="E185" s="171"/>
      <c r="F185" s="172">
        <f t="shared" si="14"/>
        <v>1049.3933333333334</v>
      </c>
      <c r="G185" s="171"/>
    </row>
    <row r="186" spans="1:8" x14ac:dyDescent="0.2">
      <c r="A186" s="54" t="s">
        <v>159</v>
      </c>
      <c r="B186" s="170">
        <f>G74</f>
        <v>1554.5650000000001</v>
      </c>
      <c r="C186" s="171"/>
      <c r="D186" s="170">
        <f>G75</f>
        <v>129.54708333333335</v>
      </c>
      <c r="E186" s="171"/>
      <c r="F186" s="172">
        <f t="shared" si="14"/>
        <v>129.54708333333335</v>
      </c>
      <c r="G186" s="171"/>
    </row>
    <row r="187" spans="1:8" x14ac:dyDescent="0.2">
      <c r="A187" s="54" t="s">
        <v>160</v>
      </c>
      <c r="B187" s="170">
        <f>E96</f>
        <v>2549.8799999999997</v>
      </c>
      <c r="C187" s="171"/>
      <c r="D187" s="170">
        <f>E97</f>
        <v>212.48999999999998</v>
      </c>
      <c r="E187" s="171"/>
      <c r="F187" s="172">
        <f t="shared" si="14"/>
        <v>212.48999999999998</v>
      </c>
      <c r="G187" s="171"/>
    </row>
    <row r="188" spans="1:8" x14ac:dyDescent="0.2">
      <c r="A188" s="52" t="s">
        <v>161</v>
      </c>
      <c r="B188" s="173">
        <f>(E116)</f>
        <v>1607.5299999999997</v>
      </c>
      <c r="C188" s="171"/>
      <c r="D188" s="173">
        <f>E117</f>
        <v>133.96083333333331</v>
      </c>
      <c r="E188" s="171"/>
      <c r="F188" s="174">
        <f t="shared" si="14"/>
        <v>133.96083333333331</v>
      </c>
      <c r="G188" s="171"/>
    </row>
    <row r="189" spans="1:8" x14ac:dyDescent="0.2">
      <c r="A189" s="54" t="s">
        <v>160</v>
      </c>
      <c r="B189" s="170">
        <f>E116</f>
        <v>1607.5299999999997</v>
      </c>
      <c r="C189" s="171"/>
      <c r="D189" s="170">
        <f>E117</f>
        <v>133.96083333333331</v>
      </c>
      <c r="E189" s="171"/>
      <c r="F189" s="172">
        <f t="shared" si="14"/>
        <v>133.96083333333331</v>
      </c>
      <c r="G189" s="171"/>
    </row>
    <row r="190" spans="1:8" x14ac:dyDescent="0.2">
      <c r="A190" s="52" t="s">
        <v>162</v>
      </c>
      <c r="B190" s="174">
        <f>(E145+F151+G158+E179)</f>
        <v>10105.975</v>
      </c>
      <c r="C190" s="171"/>
      <c r="D190" s="174">
        <f>(E146+F152+G159+E180)</f>
        <v>842.16458333333333</v>
      </c>
      <c r="E190" s="171"/>
      <c r="F190" s="174">
        <f t="shared" si="14"/>
        <v>842.16458333333333</v>
      </c>
      <c r="G190" s="171"/>
    </row>
    <row r="191" spans="1:8" x14ac:dyDescent="0.2">
      <c r="A191" s="54" t="s">
        <v>157</v>
      </c>
      <c r="B191" s="175">
        <f>E145</f>
        <v>4373.24</v>
      </c>
      <c r="C191" s="171"/>
      <c r="D191" s="175">
        <f>E146</f>
        <v>364.43666666666667</v>
      </c>
      <c r="E191" s="171"/>
      <c r="F191" s="172">
        <f t="shared" si="14"/>
        <v>364.43666666666667</v>
      </c>
      <c r="G191" s="171"/>
      <c r="H191" s="55"/>
    </row>
    <row r="192" spans="1:8" x14ac:dyDescent="0.2">
      <c r="A192" s="54" t="s">
        <v>163</v>
      </c>
      <c r="B192" s="175">
        <f>F151</f>
        <v>2210.88</v>
      </c>
      <c r="C192" s="171"/>
      <c r="D192" s="175">
        <f>F152</f>
        <v>184.24</v>
      </c>
      <c r="E192" s="171"/>
      <c r="F192" s="172">
        <f t="shared" si="14"/>
        <v>184.24</v>
      </c>
      <c r="G192" s="171"/>
      <c r="H192" s="55"/>
    </row>
    <row r="193" spans="1:8" x14ac:dyDescent="0.2">
      <c r="A193" s="54" t="s">
        <v>159</v>
      </c>
      <c r="B193" s="175">
        <f>G158</f>
        <v>1885.8449999999998</v>
      </c>
      <c r="C193" s="171"/>
      <c r="D193" s="175">
        <f>G159</f>
        <v>157.15374999999997</v>
      </c>
      <c r="E193" s="171"/>
      <c r="F193" s="172">
        <f t="shared" si="14"/>
        <v>157.15374999999997</v>
      </c>
      <c r="G193" s="171"/>
      <c r="H193" s="55"/>
    </row>
    <row r="194" spans="1:8" x14ac:dyDescent="0.2">
      <c r="A194" s="54" t="s">
        <v>160</v>
      </c>
      <c r="B194" s="175">
        <f>E179</f>
        <v>1636.0099999999998</v>
      </c>
      <c r="C194" s="171"/>
      <c r="D194" s="175">
        <f>E180</f>
        <v>136.33416666666665</v>
      </c>
      <c r="E194" s="171"/>
      <c r="F194" s="172">
        <f t="shared" si="14"/>
        <v>136.33416666666665</v>
      </c>
      <c r="G194" s="171"/>
      <c r="H194" s="55"/>
    </row>
    <row r="195" spans="1:8" x14ac:dyDescent="0.2">
      <c r="A195" s="56" t="s">
        <v>164</v>
      </c>
      <c r="B195" s="176">
        <f>B183+B188+B190</f>
        <v>33103.61</v>
      </c>
      <c r="C195" s="171"/>
      <c r="D195" s="176">
        <f>D183+D188+D190</f>
        <v>2758.6341666666667</v>
      </c>
      <c r="E195" s="171"/>
      <c r="F195" s="174">
        <f t="shared" si="14"/>
        <v>2758.6341666666667</v>
      </c>
      <c r="G195" s="171"/>
      <c r="H195" s="55"/>
    </row>
    <row r="196" spans="1:8" x14ac:dyDescent="0.2">
      <c r="A196" s="57"/>
      <c r="B196" s="58"/>
      <c r="C196" s="58"/>
      <c r="D196" s="58"/>
      <c r="E196" s="58"/>
      <c r="F196" s="59"/>
      <c r="G196" s="60"/>
    </row>
    <row r="197" spans="1:8" x14ac:dyDescent="0.2">
      <c r="A197" s="177" t="s">
        <v>165</v>
      </c>
      <c r="B197" s="178"/>
      <c r="C197" s="178"/>
      <c r="D197" s="178"/>
      <c r="E197" s="178"/>
      <c r="F197" s="178"/>
      <c r="G197" s="61">
        <v>3</v>
      </c>
    </row>
    <row r="198" spans="1:8" x14ac:dyDescent="0.2">
      <c r="A198" s="177" t="s">
        <v>166</v>
      </c>
      <c r="B198" s="178"/>
      <c r="C198" s="178"/>
      <c r="D198" s="178"/>
      <c r="E198" s="178"/>
      <c r="F198" s="178"/>
      <c r="G198" s="61">
        <v>3</v>
      </c>
    </row>
    <row r="199" spans="1:8" x14ac:dyDescent="0.2">
      <c r="A199" s="179" t="s">
        <v>167</v>
      </c>
      <c r="B199" s="178"/>
      <c r="C199" s="178"/>
      <c r="D199" s="178"/>
      <c r="E199" s="178"/>
      <c r="F199" s="178"/>
      <c r="G199" s="178"/>
    </row>
    <row r="200" spans="1:8" x14ac:dyDescent="0.2">
      <c r="A200" s="60"/>
      <c r="B200" s="62"/>
      <c r="C200" s="62"/>
      <c r="D200" s="62"/>
      <c r="E200" s="59"/>
      <c r="F200" s="59"/>
      <c r="G200" s="60"/>
    </row>
  </sheetData>
  <mergeCells count="69">
    <mergeCell ref="D186:E186"/>
    <mergeCell ref="F186:G186"/>
    <mergeCell ref="B184:C184"/>
    <mergeCell ref="D184:E184"/>
    <mergeCell ref="F184:G184"/>
    <mergeCell ref="B185:C185"/>
    <mergeCell ref="D185:E185"/>
    <mergeCell ref="F185:G185"/>
    <mergeCell ref="B186:C186"/>
    <mergeCell ref="A158:F158"/>
    <mergeCell ref="D183:E183"/>
    <mergeCell ref="F183:G183"/>
    <mergeCell ref="A159:F159"/>
    <mergeCell ref="A179:D179"/>
    <mergeCell ref="A180:D180"/>
    <mergeCell ref="B182:C182"/>
    <mergeCell ref="D182:E182"/>
    <mergeCell ref="F182:G182"/>
    <mergeCell ref="B183:C183"/>
    <mergeCell ref="A119:E119"/>
    <mergeCell ref="A145:D145"/>
    <mergeCell ref="A146:D146"/>
    <mergeCell ref="A151:E151"/>
    <mergeCell ref="A152:E152"/>
    <mergeCell ref="A96:D96"/>
    <mergeCell ref="A97:D97"/>
    <mergeCell ref="A100:E100"/>
    <mergeCell ref="A116:D116"/>
    <mergeCell ref="A117:D117"/>
    <mergeCell ref="A57:D57"/>
    <mergeCell ref="A63:F63"/>
    <mergeCell ref="A64:F64"/>
    <mergeCell ref="A74:F74"/>
    <mergeCell ref="A75:F75"/>
    <mergeCell ref="A1:E1"/>
    <mergeCell ref="A2:E2"/>
    <mergeCell ref="A3:E3"/>
    <mergeCell ref="A4:E4"/>
    <mergeCell ref="A56:D56"/>
    <mergeCell ref="B193:C193"/>
    <mergeCell ref="D193:E193"/>
    <mergeCell ref="F193:G193"/>
    <mergeCell ref="B194:C194"/>
    <mergeCell ref="D194:E194"/>
    <mergeCell ref="F194:G194"/>
    <mergeCell ref="D195:E195"/>
    <mergeCell ref="F195:G195"/>
    <mergeCell ref="A197:F197"/>
    <mergeCell ref="A198:F198"/>
    <mergeCell ref="A199:G199"/>
    <mergeCell ref="B195:C195"/>
    <mergeCell ref="D192:E192"/>
    <mergeCell ref="F192:G192"/>
    <mergeCell ref="B190:C190"/>
    <mergeCell ref="D190:E190"/>
    <mergeCell ref="F190:G190"/>
    <mergeCell ref="B191:C191"/>
    <mergeCell ref="D191:E191"/>
    <mergeCell ref="F191:G191"/>
    <mergeCell ref="B192:C192"/>
    <mergeCell ref="D189:E189"/>
    <mergeCell ref="F189:G189"/>
    <mergeCell ref="B187:C187"/>
    <mergeCell ref="D187:E187"/>
    <mergeCell ref="F187:G187"/>
    <mergeCell ref="B188:C188"/>
    <mergeCell ref="D188:E188"/>
    <mergeCell ref="F188:G188"/>
    <mergeCell ref="B189:C189"/>
  </mergeCells>
  <pageMargins left="0.7" right="0.7" top="0.75" bottom="0.75" header="0" footer="0"/>
  <pageSetup orientation="portrait"/>
  <headerFooter>
    <oddHeader>&amp;C&amp;A</oddHeader>
    <oddFooter>&amp;CPágina &amp;P</oddFooter>
  </headerFooter>
  <colBreaks count="2" manualBreakCount="2">
    <brk man="1"/>
    <brk id="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H180"/>
  <sheetViews>
    <sheetView workbookViewId="0">
      <selection sqref="A1:E1"/>
    </sheetView>
  </sheetViews>
  <sheetFormatPr defaultColWidth="12.5703125" defaultRowHeight="15" customHeight="1" x14ac:dyDescent="0.2"/>
  <cols>
    <col min="1" max="1" width="53.5703125" customWidth="1"/>
    <col min="2" max="2" width="11.5703125" customWidth="1"/>
    <col min="3" max="3" width="14.85546875" customWidth="1"/>
    <col min="4" max="4" width="18" customWidth="1"/>
    <col min="5" max="5" width="15.42578125" customWidth="1"/>
  </cols>
  <sheetData>
    <row r="1" spans="1:8" x14ac:dyDescent="0.2">
      <c r="A1" s="180" t="s">
        <v>0</v>
      </c>
      <c r="B1" s="178"/>
      <c r="C1" s="178"/>
      <c r="D1" s="178"/>
      <c r="E1" s="178"/>
      <c r="F1" s="1"/>
      <c r="G1" s="1"/>
      <c r="H1" s="1"/>
    </row>
    <row r="2" spans="1:8" x14ac:dyDescent="0.2">
      <c r="A2" s="181" t="s">
        <v>175</v>
      </c>
      <c r="B2" s="178"/>
      <c r="C2" s="178"/>
      <c r="D2" s="178"/>
      <c r="E2" s="178"/>
      <c r="F2" s="1"/>
      <c r="G2" s="1"/>
      <c r="H2" s="1"/>
    </row>
    <row r="3" spans="1:8" x14ac:dyDescent="0.2">
      <c r="A3" s="182" t="s">
        <v>2</v>
      </c>
      <c r="B3" s="178"/>
      <c r="C3" s="178"/>
      <c r="D3" s="178"/>
      <c r="E3" s="178"/>
      <c r="F3" s="1"/>
      <c r="G3" s="1"/>
      <c r="H3" s="1"/>
    </row>
    <row r="4" spans="1:8" x14ac:dyDescent="0.2">
      <c r="A4" s="183" t="s">
        <v>3</v>
      </c>
      <c r="B4" s="184"/>
      <c r="C4" s="184"/>
      <c r="D4" s="184"/>
      <c r="E4" s="171"/>
      <c r="F4" s="1"/>
      <c r="G4" s="1"/>
      <c r="H4" s="1"/>
    </row>
    <row r="5" spans="1:8" x14ac:dyDescent="0.2">
      <c r="A5" s="2" t="s">
        <v>4</v>
      </c>
      <c r="B5" s="3" t="s">
        <v>5</v>
      </c>
      <c r="C5" s="3" t="s">
        <v>6</v>
      </c>
      <c r="D5" s="4" t="s">
        <v>7</v>
      </c>
      <c r="E5" s="4" t="s">
        <v>8</v>
      </c>
      <c r="F5" s="1"/>
      <c r="G5" s="1"/>
      <c r="H5" s="1"/>
    </row>
    <row r="6" spans="1:8" x14ac:dyDescent="0.2">
      <c r="A6" s="5" t="s">
        <v>9</v>
      </c>
      <c r="B6" s="6" t="s">
        <v>10</v>
      </c>
      <c r="C6" s="6">
        <v>1</v>
      </c>
      <c r="D6" s="7">
        <v>20.49</v>
      </c>
      <c r="E6" s="7">
        <f t="shared" ref="E6:E55" si="0">C6*D6</f>
        <v>20.49</v>
      </c>
      <c r="F6" s="1"/>
      <c r="G6" s="1"/>
      <c r="H6" s="1"/>
    </row>
    <row r="7" spans="1:8" x14ac:dyDescent="0.2">
      <c r="A7" s="5" t="s">
        <v>11</v>
      </c>
      <c r="B7" s="6" t="s">
        <v>10</v>
      </c>
      <c r="C7" s="6">
        <v>1</v>
      </c>
      <c r="D7" s="7">
        <v>31.05</v>
      </c>
      <c r="E7" s="7">
        <f t="shared" si="0"/>
        <v>31.05</v>
      </c>
      <c r="F7" s="1"/>
      <c r="G7" s="1"/>
      <c r="H7" s="1"/>
    </row>
    <row r="8" spans="1:8" x14ac:dyDescent="0.2">
      <c r="A8" s="5" t="s">
        <v>12</v>
      </c>
      <c r="B8" s="6" t="s">
        <v>10</v>
      </c>
      <c r="C8" s="6">
        <v>1</v>
      </c>
      <c r="D8" s="7">
        <v>42.87</v>
      </c>
      <c r="E8" s="7">
        <f t="shared" si="0"/>
        <v>42.87</v>
      </c>
      <c r="F8" s="1"/>
      <c r="G8" s="1"/>
      <c r="H8" s="1"/>
    </row>
    <row r="9" spans="1:8" x14ac:dyDescent="0.2">
      <c r="A9" s="5" t="s">
        <v>13</v>
      </c>
      <c r="B9" s="6" t="s">
        <v>10</v>
      </c>
      <c r="C9" s="6">
        <v>1</v>
      </c>
      <c r="D9" s="7">
        <v>18.760000000000002</v>
      </c>
      <c r="E9" s="7">
        <f t="shared" si="0"/>
        <v>18.760000000000002</v>
      </c>
      <c r="F9" s="1"/>
      <c r="G9" s="1"/>
      <c r="H9" s="1"/>
    </row>
    <row r="10" spans="1:8" x14ac:dyDescent="0.2">
      <c r="A10" s="5" t="s">
        <v>14</v>
      </c>
      <c r="B10" s="6" t="s">
        <v>10</v>
      </c>
      <c r="C10" s="6">
        <v>1</v>
      </c>
      <c r="D10" s="7">
        <v>19.96</v>
      </c>
      <c r="E10" s="7">
        <f t="shared" si="0"/>
        <v>19.96</v>
      </c>
      <c r="F10" s="1"/>
      <c r="G10" s="1"/>
      <c r="H10" s="1"/>
    </row>
    <row r="11" spans="1:8" x14ac:dyDescent="0.2">
      <c r="A11" s="5" t="s">
        <v>15</v>
      </c>
      <c r="B11" s="6" t="s">
        <v>10</v>
      </c>
      <c r="C11" s="6">
        <v>1</v>
      </c>
      <c r="D11" s="7">
        <v>163.49</v>
      </c>
      <c r="E11" s="7">
        <f t="shared" si="0"/>
        <v>163.49</v>
      </c>
      <c r="F11" s="1"/>
      <c r="G11" s="1"/>
      <c r="H11" s="1"/>
    </row>
    <row r="12" spans="1:8" x14ac:dyDescent="0.2">
      <c r="A12" s="5" t="s">
        <v>16</v>
      </c>
      <c r="B12" s="6" t="s">
        <v>10</v>
      </c>
      <c r="C12" s="6">
        <v>1</v>
      </c>
      <c r="D12" s="7">
        <v>20.64</v>
      </c>
      <c r="E12" s="7">
        <f t="shared" si="0"/>
        <v>20.64</v>
      </c>
      <c r="F12" s="1"/>
      <c r="G12" s="1"/>
      <c r="H12" s="1"/>
    </row>
    <row r="13" spans="1:8" x14ac:dyDescent="0.2">
      <c r="A13" s="5" t="s">
        <v>17</v>
      </c>
      <c r="B13" s="6" t="s">
        <v>10</v>
      </c>
      <c r="C13" s="6">
        <v>1</v>
      </c>
      <c r="D13" s="7">
        <v>19.940000000000001</v>
      </c>
      <c r="E13" s="7">
        <f t="shared" si="0"/>
        <v>19.940000000000001</v>
      </c>
      <c r="F13" s="1"/>
      <c r="G13" s="1"/>
      <c r="H13" s="1"/>
    </row>
    <row r="14" spans="1:8" x14ac:dyDescent="0.2">
      <c r="A14" s="5" t="s">
        <v>18</v>
      </c>
      <c r="B14" s="6" t="s">
        <v>10</v>
      </c>
      <c r="C14" s="6">
        <v>1</v>
      </c>
      <c r="D14" s="7">
        <v>67.930000000000007</v>
      </c>
      <c r="E14" s="7">
        <f t="shared" si="0"/>
        <v>67.930000000000007</v>
      </c>
      <c r="F14" s="1"/>
      <c r="G14" s="1"/>
      <c r="H14" s="1"/>
    </row>
    <row r="15" spans="1:8" x14ac:dyDescent="0.2">
      <c r="A15" s="5" t="s">
        <v>19</v>
      </c>
      <c r="B15" s="6" t="s">
        <v>20</v>
      </c>
      <c r="C15" s="6">
        <v>1</v>
      </c>
      <c r="D15" s="7">
        <v>148.77000000000001</v>
      </c>
      <c r="E15" s="7">
        <f t="shared" si="0"/>
        <v>148.77000000000001</v>
      </c>
      <c r="F15" s="1"/>
      <c r="G15" s="1"/>
      <c r="H15" s="1"/>
    </row>
    <row r="16" spans="1:8" x14ac:dyDescent="0.2">
      <c r="A16" s="5" t="s">
        <v>21</v>
      </c>
      <c r="B16" s="6" t="s">
        <v>20</v>
      </c>
      <c r="C16" s="6">
        <v>1</v>
      </c>
      <c r="D16" s="7">
        <v>105.12</v>
      </c>
      <c r="E16" s="7">
        <f t="shared" si="0"/>
        <v>105.12</v>
      </c>
      <c r="F16" s="1"/>
      <c r="G16" s="1"/>
      <c r="H16" s="1"/>
    </row>
    <row r="17" spans="1:8" x14ac:dyDescent="0.2">
      <c r="A17" s="5" t="s">
        <v>22</v>
      </c>
      <c r="B17" s="6" t="s">
        <v>20</v>
      </c>
      <c r="C17" s="6">
        <v>4</v>
      </c>
      <c r="D17" s="7">
        <v>27.73</v>
      </c>
      <c r="E17" s="7">
        <f t="shared" si="0"/>
        <v>110.92</v>
      </c>
      <c r="F17" s="1"/>
      <c r="G17" s="1"/>
      <c r="H17" s="1"/>
    </row>
    <row r="18" spans="1:8" x14ac:dyDescent="0.2">
      <c r="A18" s="5" t="s">
        <v>23</v>
      </c>
      <c r="B18" s="6" t="s">
        <v>20</v>
      </c>
      <c r="C18" s="6">
        <v>2</v>
      </c>
      <c r="D18" s="7">
        <v>44.79</v>
      </c>
      <c r="E18" s="7">
        <f t="shared" si="0"/>
        <v>89.58</v>
      </c>
      <c r="F18" s="1"/>
      <c r="G18" s="1"/>
      <c r="H18" s="1"/>
    </row>
    <row r="19" spans="1:8" x14ac:dyDescent="0.2">
      <c r="A19" s="5" t="s">
        <v>24</v>
      </c>
      <c r="B19" s="6" t="s">
        <v>20</v>
      </c>
      <c r="C19" s="6">
        <v>2</v>
      </c>
      <c r="D19" s="7">
        <v>40.36</v>
      </c>
      <c r="E19" s="7">
        <f t="shared" si="0"/>
        <v>80.72</v>
      </c>
      <c r="F19" s="1"/>
      <c r="G19" s="1"/>
      <c r="H19" s="1"/>
    </row>
    <row r="20" spans="1:8" x14ac:dyDescent="0.2">
      <c r="A20" s="8" t="s">
        <v>25</v>
      </c>
      <c r="B20" s="6" t="s">
        <v>10</v>
      </c>
      <c r="C20" s="6">
        <v>1</v>
      </c>
      <c r="D20" s="7">
        <v>14.23</v>
      </c>
      <c r="E20" s="7">
        <f t="shared" si="0"/>
        <v>14.23</v>
      </c>
      <c r="F20" s="1"/>
      <c r="G20" s="1"/>
      <c r="H20" s="1"/>
    </row>
    <row r="21" spans="1:8" x14ac:dyDescent="0.2">
      <c r="A21" s="5" t="s">
        <v>26</v>
      </c>
      <c r="B21" s="6" t="s">
        <v>10</v>
      </c>
      <c r="C21" s="6">
        <v>1</v>
      </c>
      <c r="D21" s="7">
        <v>20.7</v>
      </c>
      <c r="E21" s="7">
        <f t="shared" si="0"/>
        <v>20.7</v>
      </c>
      <c r="F21" s="1"/>
      <c r="G21" s="1"/>
      <c r="H21" s="1"/>
    </row>
    <row r="22" spans="1:8" x14ac:dyDescent="0.2">
      <c r="A22" s="5" t="s">
        <v>27</v>
      </c>
      <c r="B22" s="6" t="s">
        <v>10</v>
      </c>
      <c r="C22" s="6">
        <v>1</v>
      </c>
      <c r="D22" s="7">
        <v>34.26</v>
      </c>
      <c r="E22" s="7">
        <f t="shared" si="0"/>
        <v>34.26</v>
      </c>
      <c r="F22" s="1"/>
      <c r="G22" s="1"/>
      <c r="H22" s="1"/>
    </row>
    <row r="23" spans="1:8" x14ac:dyDescent="0.2">
      <c r="A23" s="5" t="s">
        <v>28</v>
      </c>
      <c r="B23" s="6" t="s">
        <v>10</v>
      </c>
      <c r="C23" s="6">
        <v>24</v>
      </c>
      <c r="D23" s="7">
        <v>1.39</v>
      </c>
      <c r="E23" s="7">
        <f t="shared" si="0"/>
        <v>33.36</v>
      </c>
      <c r="F23" s="1"/>
      <c r="G23" s="1"/>
      <c r="H23" s="1"/>
    </row>
    <row r="24" spans="1:8" x14ac:dyDescent="0.2">
      <c r="A24" s="5" t="s">
        <v>29</v>
      </c>
      <c r="B24" s="6" t="s">
        <v>10</v>
      </c>
      <c r="C24" s="6">
        <v>24</v>
      </c>
      <c r="D24" s="7">
        <v>4.43</v>
      </c>
      <c r="E24" s="7">
        <f t="shared" si="0"/>
        <v>106.32</v>
      </c>
      <c r="F24" s="1"/>
      <c r="G24" s="1"/>
      <c r="H24" s="1"/>
    </row>
    <row r="25" spans="1:8" x14ac:dyDescent="0.2">
      <c r="A25" s="5" t="s">
        <v>30</v>
      </c>
      <c r="B25" s="6" t="s">
        <v>10</v>
      </c>
      <c r="C25" s="6">
        <v>2</v>
      </c>
      <c r="D25" s="7">
        <v>14.06</v>
      </c>
      <c r="E25" s="7">
        <f t="shared" si="0"/>
        <v>28.12</v>
      </c>
      <c r="F25" s="1"/>
      <c r="G25" s="1"/>
      <c r="H25" s="1"/>
    </row>
    <row r="26" spans="1:8" x14ac:dyDescent="0.2">
      <c r="A26" s="5" t="s">
        <v>31</v>
      </c>
      <c r="B26" s="6" t="s">
        <v>10</v>
      </c>
      <c r="C26" s="6">
        <v>2</v>
      </c>
      <c r="D26" s="7">
        <v>9.09</v>
      </c>
      <c r="E26" s="7">
        <f t="shared" si="0"/>
        <v>18.18</v>
      </c>
      <c r="F26" s="1"/>
      <c r="G26" s="1"/>
      <c r="H26" s="1"/>
    </row>
    <row r="27" spans="1:8" x14ac:dyDescent="0.2">
      <c r="A27" s="5" t="s">
        <v>32</v>
      </c>
      <c r="B27" s="6" t="s">
        <v>10</v>
      </c>
      <c r="C27" s="6">
        <v>1</v>
      </c>
      <c r="D27" s="7">
        <v>28.33</v>
      </c>
      <c r="E27" s="7">
        <f t="shared" si="0"/>
        <v>28.33</v>
      </c>
      <c r="F27" s="1"/>
      <c r="G27" s="1"/>
      <c r="H27" s="1"/>
    </row>
    <row r="28" spans="1:8" x14ac:dyDescent="0.2">
      <c r="A28" s="5" t="s">
        <v>33</v>
      </c>
      <c r="B28" s="6" t="s">
        <v>10</v>
      </c>
      <c r="C28" s="6">
        <v>6</v>
      </c>
      <c r="D28" s="7">
        <v>12.82</v>
      </c>
      <c r="E28" s="7">
        <f t="shared" si="0"/>
        <v>76.92</v>
      </c>
      <c r="F28" s="1"/>
      <c r="G28" s="1"/>
      <c r="H28" s="1"/>
    </row>
    <row r="29" spans="1:8" x14ac:dyDescent="0.2">
      <c r="A29" s="5" t="s">
        <v>34</v>
      </c>
      <c r="B29" s="6" t="s">
        <v>10</v>
      </c>
      <c r="C29" s="6">
        <v>1</v>
      </c>
      <c r="D29" s="7">
        <v>19.079999999999998</v>
      </c>
      <c r="E29" s="7">
        <f t="shared" si="0"/>
        <v>19.079999999999998</v>
      </c>
      <c r="F29" s="1"/>
      <c r="G29" s="1"/>
      <c r="H29" s="1"/>
    </row>
    <row r="30" spans="1:8" x14ac:dyDescent="0.2">
      <c r="A30" s="5" t="s">
        <v>35</v>
      </c>
      <c r="B30" s="6" t="s">
        <v>10</v>
      </c>
      <c r="C30" s="6">
        <v>24</v>
      </c>
      <c r="D30" s="7">
        <v>35.46</v>
      </c>
      <c r="E30" s="7">
        <f t="shared" si="0"/>
        <v>851.04</v>
      </c>
      <c r="F30" s="1"/>
      <c r="G30" s="1"/>
      <c r="H30" s="1"/>
    </row>
    <row r="31" spans="1:8" x14ac:dyDescent="0.2">
      <c r="A31" s="5" t="s">
        <v>36</v>
      </c>
      <c r="B31" s="6" t="s">
        <v>10</v>
      </c>
      <c r="C31" s="6">
        <v>4</v>
      </c>
      <c r="D31" s="7">
        <v>1.82</v>
      </c>
      <c r="E31" s="7">
        <f t="shared" si="0"/>
        <v>7.28</v>
      </c>
      <c r="F31" s="1"/>
      <c r="G31" s="1"/>
      <c r="H31" s="1"/>
    </row>
    <row r="32" spans="1:8" x14ac:dyDescent="0.2">
      <c r="A32" s="5" t="s">
        <v>37</v>
      </c>
      <c r="B32" s="6" t="s">
        <v>10</v>
      </c>
      <c r="C32" s="6">
        <v>1</v>
      </c>
      <c r="D32" s="7">
        <v>184.73</v>
      </c>
      <c r="E32" s="7">
        <f t="shared" si="0"/>
        <v>184.73</v>
      </c>
      <c r="F32" s="1"/>
      <c r="G32" s="1"/>
      <c r="H32" s="1"/>
    </row>
    <row r="33" spans="1:8" x14ac:dyDescent="0.2">
      <c r="A33" s="5" t="s">
        <v>38</v>
      </c>
      <c r="B33" s="6" t="s">
        <v>10</v>
      </c>
      <c r="C33" s="6">
        <v>1</v>
      </c>
      <c r="D33" s="7">
        <v>51.8</v>
      </c>
      <c r="E33" s="7">
        <f t="shared" si="0"/>
        <v>51.8</v>
      </c>
      <c r="F33" s="1"/>
      <c r="G33" s="1"/>
      <c r="H33" s="1"/>
    </row>
    <row r="34" spans="1:8" x14ac:dyDescent="0.2">
      <c r="A34" s="5" t="s">
        <v>39</v>
      </c>
      <c r="B34" s="6" t="s">
        <v>10</v>
      </c>
      <c r="C34" s="6">
        <v>1</v>
      </c>
      <c r="D34" s="7">
        <v>60.32</v>
      </c>
      <c r="E34" s="7">
        <f t="shared" si="0"/>
        <v>60.32</v>
      </c>
      <c r="F34" s="1"/>
      <c r="G34" s="1"/>
      <c r="H34" s="1"/>
    </row>
    <row r="35" spans="1:8" x14ac:dyDescent="0.2">
      <c r="A35" s="5" t="s">
        <v>40</v>
      </c>
      <c r="B35" s="6" t="s">
        <v>10</v>
      </c>
      <c r="C35" s="6">
        <v>1</v>
      </c>
      <c r="D35" s="7">
        <v>95.17</v>
      </c>
      <c r="E35" s="7">
        <f t="shared" si="0"/>
        <v>95.17</v>
      </c>
      <c r="F35" s="1"/>
      <c r="G35" s="1"/>
      <c r="H35" s="1"/>
    </row>
    <row r="36" spans="1:8" x14ac:dyDescent="0.2">
      <c r="A36" s="5" t="s">
        <v>41</v>
      </c>
      <c r="B36" s="6" t="s">
        <v>10</v>
      </c>
      <c r="C36" s="6">
        <v>1</v>
      </c>
      <c r="D36" s="7">
        <v>147.69999999999999</v>
      </c>
      <c r="E36" s="7">
        <f t="shared" si="0"/>
        <v>147.69999999999999</v>
      </c>
      <c r="F36" s="1"/>
      <c r="G36" s="1"/>
      <c r="H36" s="1"/>
    </row>
    <row r="37" spans="1:8" x14ac:dyDescent="0.2">
      <c r="A37" s="5" t="s">
        <v>42</v>
      </c>
      <c r="B37" s="6" t="s">
        <v>10</v>
      </c>
      <c r="C37" s="6">
        <v>1</v>
      </c>
      <c r="D37" s="7">
        <v>43.37</v>
      </c>
      <c r="E37" s="7">
        <f t="shared" si="0"/>
        <v>43.37</v>
      </c>
      <c r="F37" s="1"/>
      <c r="G37" s="1"/>
      <c r="H37" s="1"/>
    </row>
    <row r="38" spans="1:8" x14ac:dyDescent="0.2">
      <c r="A38" s="5" t="s">
        <v>43</v>
      </c>
      <c r="B38" s="6" t="s">
        <v>10</v>
      </c>
      <c r="C38" s="6">
        <v>1</v>
      </c>
      <c r="D38" s="7">
        <v>79.099999999999994</v>
      </c>
      <c r="E38" s="7">
        <f t="shared" si="0"/>
        <v>79.099999999999994</v>
      </c>
      <c r="F38" s="1"/>
      <c r="G38" s="1"/>
      <c r="H38" s="1"/>
    </row>
    <row r="39" spans="1:8" x14ac:dyDescent="0.2">
      <c r="A39" s="5" t="s">
        <v>44</v>
      </c>
      <c r="B39" s="6" t="s">
        <v>10</v>
      </c>
      <c r="C39" s="6">
        <v>1</v>
      </c>
      <c r="D39" s="7">
        <v>58.47</v>
      </c>
      <c r="E39" s="7">
        <f t="shared" si="0"/>
        <v>58.47</v>
      </c>
      <c r="F39" s="1"/>
      <c r="G39" s="1"/>
      <c r="H39" s="1"/>
    </row>
    <row r="40" spans="1:8" x14ac:dyDescent="0.2">
      <c r="A40" s="5" t="s">
        <v>45</v>
      </c>
      <c r="B40" s="6" t="s">
        <v>10</v>
      </c>
      <c r="C40" s="6">
        <v>1</v>
      </c>
      <c r="D40" s="7">
        <v>33.93</v>
      </c>
      <c r="E40" s="7">
        <f t="shared" si="0"/>
        <v>33.93</v>
      </c>
      <c r="F40" s="1"/>
      <c r="G40" s="1"/>
      <c r="H40" s="1"/>
    </row>
    <row r="41" spans="1:8" x14ac:dyDescent="0.2">
      <c r="A41" s="5" t="s">
        <v>46</v>
      </c>
      <c r="B41" s="6" t="s">
        <v>10</v>
      </c>
      <c r="C41" s="6">
        <v>4</v>
      </c>
      <c r="D41" s="7">
        <v>7.77</v>
      </c>
      <c r="E41" s="7">
        <f t="shared" si="0"/>
        <v>31.08</v>
      </c>
      <c r="F41" s="1"/>
      <c r="G41" s="1"/>
      <c r="H41" s="1"/>
    </row>
    <row r="42" spans="1:8" x14ac:dyDescent="0.2">
      <c r="A42" s="5" t="s">
        <v>47</v>
      </c>
      <c r="B42" s="6" t="s">
        <v>10</v>
      </c>
      <c r="C42" s="6">
        <v>12</v>
      </c>
      <c r="D42" s="7">
        <v>15.39</v>
      </c>
      <c r="E42" s="7">
        <f t="shared" si="0"/>
        <v>184.68</v>
      </c>
      <c r="F42" s="1"/>
      <c r="G42" s="1"/>
      <c r="H42" s="1"/>
    </row>
    <row r="43" spans="1:8" x14ac:dyDescent="0.2">
      <c r="A43" s="5" t="s">
        <v>48</v>
      </c>
      <c r="B43" s="6" t="s">
        <v>10</v>
      </c>
      <c r="C43" s="6">
        <v>12</v>
      </c>
      <c r="D43" s="7">
        <v>6.32</v>
      </c>
      <c r="E43" s="7">
        <f t="shared" si="0"/>
        <v>75.84</v>
      </c>
      <c r="F43" s="1"/>
      <c r="G43" s="1"/>
      <c r="H43" s="1"/>
    </row>
    <row r="44" spans="1:8" x14ac:dyDescent="0.2">
      <c r="A44" s="5" t="s">
        <v>49</v>
      </c>
      <c r="B44" s="6" t="s">
        <v>10</v>
      </c>
      <c r="C44" s="6">
        <v>12</v>
      </c>
      <c r="D44" s="7">
        <v>21.53</v>
      </c>
      <c r="E44" s="7">
        <f t="shared" si="0"/>
        <v>258.36</v>
      </c>
      <c r="F44" s="1"/>
      <c r="G44" s="1"/>
      <c r="H44" s="1"/>
    </row>
    <row r="45" spans="1:8" x14ac:dyDescent="0.2">
      <c r="A45" s="5" t="s">
        <v>50</v>
      </c>
      <c r="B45" s="6" t="s">
        <v>10</v>
      </c>
      <c r="C45" s="6">
        <v>12</v>
      </c>
      <c r="D45" s="7">
        <v>12.25</v>
      </c>
      <c r="E45" s="7">
        <f t="shared" si="0"/>
        <v>147</v>
      </c>
      <c r="F45" s="1"/>
      <c r="G45" s="1"/>
      <c r="H45" s="1"/>
    </row>
    <row r="46" spans="1:8" x14ac:dyDescent="0.2">
      <c r="A46" s="5" t="s">
        <v>51</v>
      </c>
      <c r="B46" s="6" t="s">
        <v>10</v>
      </c>
      <c r="C46" s="6">
        <v>1</v>
      </c>
      <c r="D46" s="7">
        <v>33.75</v>
      </c>
      <c r="E46" s="7">
        <f t="shared" si="0"/>
        <v>33.75</v>
      </c>
      <c r="F46" s="1"/>
      <c r="G46" s="1"/>
      <c r="H46" s="1"/>
    </row>
    <row r="47" spans="1:8" x14ac:dyDescent="0.2">
      <c r="A47" s="5" t="s">
        <v>52</v>
      </c>
      <c r="B47" s="6" t="s">
        <v>10</v>
      </c>
      <c r="C47" s="6">
        <v>1</v>
      </c>
      <c r="D47" s="7">
        <v>47.86</v>
      </c>
      <c r="E47" s="7">
        <f t="shared" si="0"/>
        <v>47.86</v>
      </c>
      <c r="F47" s="1"/>
      <c r="G47" s="1"/>
      <c r="H47" s="1"/>
    </row>
    <row r="48" spans="1:8" x14ac:dyDescent="0.2">
      <c r="A48" s="5" t="s">
        <v>53</v>
      </c>
      <c r="B48" s="6" t="s">
        <v>10</v>
      </c>
      <c r="C48" s="6">
        <v>1</v>
      </c>
      <c r="D48" s="7">
        <v>16.79</v>
      </c>
      <c r="E48" s="7">
        <f t="shared" si="0"/>
        <v>16.79</v>
      </c>
      <c r="F48" s="1"/>
      <c r="G48" s="1"/>
      <c r="H48" s="1"/>
    </row>
    <row r="49" spans="1:8" x14ac:dyDescent="0.2">
      <c r="A49" s="5" t="s">
        <v>54</v>
      </c>
      <c r="B49" s="6" t="s">
        <v>10</v>
      </c>
      <c r="C49" s="6">
        <v>1</v>
      </c>
      <c r="D49" s="7">
        <v>50.6</v>
      </c>
      <c r="E49" s="7">
        <f t="shared" si="0"/>
        <v>50.6</v>
      </c>
      <c r="F49" s="1"/>
      <c r="G49" s="1"/>
      <c r="H49" s="1"/>
    </row>
    <row r="50" spans="1:8" x14ac:dyDescent="0.2">
      <c r="A50" s="5" t="s">
        <v>55</v>
      </c>
      <c r="B50" s="6" t="s">
        <v>10</v>
      </c>
      <c r="C50" s="6">
        <v>1</v>
      </c>
      <c r="D50" s="7">
        <v>74.14</v>
      </c>
      <c r="E50" s="7">
        <f t="shared" si="0"/>
        <v>74.14</v>
      </c>
      <c r="F50" s="1"/>
      <c r="G50" s="1"/>
      <c r="H50" s="1"/>
    </row>
    <row r="51" spans="1:8" x14ac:dyDescent="0.2">
      <c r="A51" s="5" t="s">
        <v>56</v>
      </c>
      <c r="B51" s="6" t="s">
        <v>10</v>
      </c>
      <c r="C51" s="6">
        <v>1</v>
      </c>
      <c r="D51" s="7">
        <v>184.07</v>
      </c>
      <c r="E51" s="7">
        <f t="shared" si="0"/>
        <v>184.07</v>
      </c>
      <c r="F51" s="1"/>
      <c r="G51" s="1"/>
      <c r="H51" s="1"/>
    </row>
    <row r="52" spans="1:8" x14ac:dyDescent="0.2">
      <c r="A52" s="5" t="s">
        <v>57</v>
      </c>
      <c r="B52" s="6" t="s">
        <v>10</v>
      </c>
      <c r="C52" s="6">
        <v>4</v>
      </c>
      <c r="D52" s="7">
        <v>68.95</v>
      </c>
      <c r="E52" s="7">
        <f t="shared" si="0"/>
        <v>275.8</v>
      </c>
      <c r="F52" s="1"/>
      <c r="G52" s="1"/>
      <c r="H52" s="1"/>
    </row>
    <row r="53" spans="1:8" x14ac:dyDescent="0.2">
      <c r="A53" s="5" t="s">
        <v>58</v>
      </c>
      <c r="B53" s="6" t="s">
        <v>10</v>
      </c>
      <c r="C53" s="6">
        <v>2</v>
      </c>
      <c r="D53" s="7">
        <v>20.41</v>
      </c>
      <c r="E53" s="7">
        <f t="shared" si="0"/>
        <v>40.82</v>
      </c>
      <c r="F53" s="1"/>
      <c r="G53" s="1"/>
      <c r="H53" s="1"/>
    </row>
    <row r="54" spans="1:8" x14ac:dyDescent="0.2">
      <c r="A54" s="5" t="s">
        <v>59</v>
      </c>
      <c r="B54" s="6" t="s">
        <v>60</v>
      </c>
      <c r="C54" s="6">
        <v>12</v>
      </c>
      <c r="D54" s="7">
        <v>27.55</v>
      </c>
      <c r="E54" s="7">
        <f t="shared" si="0"/>
        <v>330.6</v>
      </c>
      <c r="F54" s="1"/>
      <c r="G54" s="1"/>
      <c r="H54" s="1"/>
    </row>
    <row r="55" spans="1:8" x14ac:dyDescent="0.2">
      <c r="A55" s="5" t="s">
        <v>61</v>
      </c>
      <c r="B55" s="6" t="s">
        <v>10</v>
      </c>
      <c r="C55" s="6">
        <v>1</v>
      </c>
      <c r="D55" s="7">
        <v>8.9</v>
      </c>
      <c r="E55" s="7">
        <f t="shared" si="0"/>
        <v>8.9</v>
      </c>
      <c r="F55" s="1"/>
      <c r="G55" s="1"/>
      <c r="H55" s="1"/>
    </row>
    <row r="56" spans="1:8" x14ac:dyDescent="0.2">
      <c r="A56" s="185" t="s">
        <v>62</v>
      </c>
      <c r="B56" s="186"/>
      <c r="C56" s="186"/>
      <c r="D56" s="187"/>
      <c r="E56" s="9">
        <f>SUM(E6:E55)</f>
        <v>4692.9399999999996</v>
      </c>
      <c r="F56" s="1"/>
      <c r="G56" s="1"/>
      <c r="H56" s="1"/>
    </row>
    <row r="57" spans="1:8" x14ac:dyDescent="0.2">
      <c r="A57" s="185" t="s">
        <v>63</v>
      </c>
      <c r="B57" s="186"/>
      <c r="C57" s="186"/>
      <c r="D57" s="187"/>
      <c r="E57" s="9">
        <f>E56/12</f>
        <v>391.07833333333332</v>
      </c>
      <c r="F57" s="1"/>
      <c r="G57" s="1"/>
      <c r="H57" s="1"/>
    </row>
    <row r="58" spans="1:8" x14ac:dyDescent="0.2">
      <c r="A58" s="10"/>
      <c r="B58" s="10"/>
      <c r="C58" s="10"/>
      <c r="D58" s="11"/>
      <c r="E58" s="11"/>
      <c r="F58" s="10"/>
      <c r="G58" s="10"/>
      <c r="H58" s="1"/>
    </row>
    <row r="59" spans="1:8" x14ac:dyDescent="0.2">
      <c r="A59" s="2" t="s">
        <v>64</v>
      </c>
      <c r="B59" s="3" t="s">
        <v>5</v>
      </c>
      <c r="C59" s="3" t="s">
        <v>6</v>
      </c>
      <c r="D59" s="3" t="s">
        <v>65</v>
      </c>
      <c r="E59" s="3" t="s">
        <v>66</v>
      </c>
      <c r="F59" s="4" t="s">
        <v>7</v>
      </c>
      <c r="G59" s="4" t="s">
        <v>8</v>
      </c>
      <c r="H59" s="1"/>
    </row>
    <row r="60" spans="1:8" x14ac:dyDescent="0.2">
      <c r="A60" s="5" t="s">
        <v>67</v>
      </c>
      <c r="B60" s="36" t="s">
        <v>68</v>
      </c>
      <c r="C60" s="36">
        <f t="shared" ref="C60:C63" si="1">E60/5</f>
        <v>21.6</v>
      </c>
      <c r="D60" s="6">
        <v>54</v>
      </c>
      <c r="E60" s="6">
        <f t="shared" ref="E60:E63" si="2">D60*2</f>
        <v>108</v>
      </c>
      <c r="F60" s="7">
        <v>569.58000000000004</v>
      </c>
      <c r="G60" s="7">
        <f>F60*C60</f>
        <v>12302.928000000002</v>
      </c>
      <c r="H60" s="1"/>
    </row>
    <row r="61" spans="1:8" x14ac:dyDescent="0.2">
      <c r="A61" s="5" t="s">
        <v>169</v>
      </c>
      <c r="B61" s="36" t="s">
        <v>70</v>
      </c>
      <c r="C61" s="36">
        <f t="shared" si="1"/>
        <v>0.4</v>
      </c>
      <c r="D61" s="6">
        <v>1</v>
      </c>
      <c r="E61" s="6">
        <f t="shared" si="2"/>
        <v>2</v>
      </c>
      <c r="F61" s="7">
        <v>208.9</v>
      </c>
      <c r="G61" s="7">
        <f t="shared" ref="G61:G63" si="3">C61*F61</f>
        <v>83.56</v>
      </c>
      <c r="H61" s="1"/>
    </row>
    <row r="62" spans="1:8" x14ac:dyDescent="0.2">
      <c r="A62" s="5" t="s">
        <v>69</v>
      </c>
      <c r="B62" s="36" t="s">
        <v>70</v>
      </c>
      <c r="C62" s="36">
        <f t="shared" si="1"/>
        <v>0.4</v>
      </c>
      <c r="D62" s="6">
        <v>1</v>
      </c>
      <c r="E62" s="6">
        <f t="shared" si="2"/>
        <v>2</v>
      </c>
      <c r="F62" s="7">
        <v>139.76</v>
      </c>
      <c r="G62" s="7">
        <f t="shared" si="3"/>
        <v>55.903999999999996</v>
      </c>
      <c r="H62" s="1"/>
    </row>
    <row r="63" spans="1:8" x14ac:dyDescent="0.2">
      <c r="A63" s="5" t="s">
        <v>71</v>
      </c>
      <c r="B63" s="6" t="s">
        <v>70</v>
      </c>
      <c r="C63" s="36">
        <f t="shared" si="1"/>
        <v>6</v>
      </c>
      <c r="D63" s="6">
        <v>15</v>
      </c>
      <c r="E63" s="6">
        <f t="shared" si="2"/>
        <v>30</v>
      </c>
      <c r="F63" s="7">
        <v>153.6</v>
      </c>
      <c r="G63" s="7">
        <f t="shared" si="3"/>
        <v>921.59999999999991</v>
      </c>
      <c r="H63" s="1"/>
    </row>
    <row r="64" spans="1:8" x14ac:dyDescent="0.2">
      <c r="A64" s="185" t="s">
        <v>62</v>
      </c>
      <c r="B64" s="186"/>
      <c r="C64" s="186"/>
      <c r="D64" s="186"/>
      <c r="E64" s="186"/>
      <c r="F64" s="187"/>
      <c r="G64" s="9">
        <f>SUM(G60:G63)</f>
        <v>13363.992000000002</v>
      </c>
      <c r="H64" s="1"/>
    </row>
    <row r="65" spans="1:8" x14ac:dyDescent="0.2">
      <c r="A65" s="185" t="s">
        <v>63</v>
      </c>
      <c r="B65" s="186"/>
      <c r="C65" s="186"/>
      <c r="D65" s="186"/>
      <c r="E65" s="186"/>
      <c r="F65" s="187"/>
      <c r="G65" s="9">
        <f>G64/12</f>
        <v>1113.6660000000002</v>
      </c>
      <c r="H65" s="12"/>
    </row>
    <row r="66" spans="1:8" x14ac:dyDescent="0.2">
      <c r="A66" s="1"/>
      <c r="B66" s="1"/>
      <c r="C66" s="1"/>
      <c r="D66" s="1"/>
      <c r="E66" s="12"/>
      <c r="F66" s="1"/>
      <c r="G66" s="1"/>
      <c r="H66" s="1"/>
    </row>
    <row r="67" spans="1:8" x14ac:dyDescent="0.2">
      <c r="A67" s="13" t="s">
        <v>72</v>
      </c>
      <c r="B67" s="13" t="s">
        <v>5</v>
      </c>
      <c r="C67" s="13" t="s">
        <v>73</v>
      </c>
      <c r="D67" s="13" t="s">
        <v>74</v>
      </c>
      <c r="E67" s="13" t="s">
        <v>6</v>
      </c>
      <c r="F67" s="14" t="s">
        <v>7</v>
      </c>
      <c r="G67" s="14" t="s">
        <v>8</v>
      </c>
      <c r="H67" s="1"/>
    </row>
    <row r="68" spans="1:8" x14ac:dyDescent="0.2">
      <c r="A68" s="5" t="s">
        <v>75</v>
      </c>
      <c r="B68" s="6" t="s">
        <v>10</v>
      </c>
      <c r="C68" s="6">
        <v>1</v>
      </c>
      <c r="D68" s="15">
        <v>60</v>
      </c>
      <c r="E68" s="16">
        <f t="shared" ref="E68:E74" si="4">12/D68*C68</f>
        <v>0.2</v>
      </c>
      <c r="F68" s="7">
        <v>856.5</v>
      </c>
      <c r="G68" s="7">
        <f t="shared" ref="G68:G74" si="5">E68*F68</f>
        <v>171.3</v>
      </c>
      <c r="H68" s="1"/>
    </row>
    <row r="69" spans="1:8" x14ac:dyDescent="0.2">
      <c r="A69" s="5" t="s">
        <v>76</v>
      </c>
      <c r="B69" s="6" t="s">
        <v>10</v>
      </c>
      <c r="C69" s="6">
        <v>1</v>
      </c>
      <c r="D69" s="15">
        <v>30</v>
      </c>
      <c r="E69" s="16">
        <f t="shared" si="4"/>
        <v>0.4</v>
      </c>
      <c r="F69" s="7">
        <v>659.85</v>
      </c>
      <c r="G69" s="7">
        <f t="shared" si="5"/>
        <v>263.94</v>
      </c>
      <c r="H69" s="1"/>
    </row>
    <row r="70" spans="1:8" x14ac:dyDescent="0.2">
      <c r="A70" s="5" t="s">
        <v>77</v>
      </c>
      <c r="B70" s="6" t="s">
        <v>10</v>
      </c>
      <c r="C70" s="6">
        <v>1</v>
      </c>
      <c r="D70" s="15">
        <v>24</v>
      </c>
      <c r="E70" s="16">
        <f t="shared" si="4"/>
        <v>0.5</v>
      </c>
      <c r="F70" s="7">
        <v>425.12</v>
      </c>
      <c r="G70" s="7">
        <f t="shared" si="5"/>
        <v>212.56</v>
      </c>
      <c r="H70" s="1"/>
    </row>
    <row r="71" spans="1:8" x14ac:dyDescent="0.2">
      <c r="A71" s="5" t="s">
        <v>78</v>
      </c>
      <c r="B71" s="6" t="s">
        <v>10</v>
      </c>
      <c r="C71" s="6">
        <v>1</v>
      </c>
      <c r="D71" s="15">
        <v>24</v>
      </c>
      <c r="E71" s="16">
        <f t="shared" si="4"/>
        <v>0.5</v>
      </c>
      <c r="F71" s="7">
        <v>336.35</v>
      </c>
      <c r="G71" s="7">
        <f t="shared" si="5"/>
        <v>168.17500000000001</v>
      </c>
      <c r="H71" s="1"/>
    </row>
    <row r="72" spans="1:8" x14ac:dyDescent="0.2">
      <c r="A72" s="5" t="s">
        <v>79</v>
      </c>
      <c r="B72" s="6" t="s">
        <v>10</v>
      </c>
      <c r="C72" s="6">
        <v>1</v>
      </c>
      <c r="D72" s="15">
        <v>30</v>
      </c>
      <c r="E72" s="16">
        <f t="shared" si="4"/>
        <v>0.4</v>
      </c>
      <c r="F72" s="7">
        <v>906</v>
      </c>
      <c r="G72" s="7">
        <f t="shared" si="5"/>
        <v>362.40000000000003</v>
      </c>
      <c r="H72" s="1"/>
    </row>
    <row r="73" spans="1:8" x14ac:dyDescent="0.2">
      <c r="A73" s="5" t="s">
        <v>80</v>
      </c>
      <c r="B73" s="6" t="s">
        <v>10</v>
      </c>
      <c r="C73" s="6">
        <v>1</v>
      </c>
      <c r="D73" s="15">
        <v>24</v>
      </c>
      <c r="E73" s="16">
        <f t="shared" si="4"/>
        <v>0.5</v>
      </c>
      <c r="F73" s="7">
        <v>375.34</v>
      </c>
      <c r="G73" s="7">
        <f t="shared" si="5"/>
        <v>187.67</v>
      </c>
      <c r="H73" s="1"/>
    </row>
    <row r="74" spans="1:8" x14ac:dyDescent="0.2">
      <c r="A74" s="5" t="s">
        <v>81</v>
      </c>
      <c r="B74" s="6" t="s">
        <v>10</v>
      </c>
      <c r="C74" s="6">
        <v>1</v>
      </c>
      <c r="D74" s="15">
        <v>30</v>
      </c>
      <c r="E74" s="16">
        <f t="shared" si="4"/>
        <v>0.4</v>
      </c>
      <c r="F74" s="7">
        <v>471.3</v>
      </c>
      <c r="G74" s="7">
        <f t="shared" si="5"/>
        <v>188.52</v>
      </c>
      <c r="H74" s="1"/>
    </row>
    <row r="75" spans="1:8" x14ac:dyDescent="0.2">
      <c r="A75" s="185" t="s">
        <v>82</v>
      </c>
      <c r="B75" s="186"/>
      <c r="C75" s="186"/>
      <c r="D75" s="186"/>
      <c r="E75" s="186"/>
      <c r="F75" s="187"/>
      <c r="G75" s="17">
        <f>SUM(G68:G74)</f>
        <v>1554.5650000000001</v>
      </c>
      <c r="H75" s="1"/>
    </row>
    <row r="76" spans="1:8" x14ac:dyDescent="0.2">
      <c r="A76" s="185" t="s">
        <v>83</v>
      </c>
      <c r="B76" s="186"/>
      <c r="C76" s="186"/>
      <c r="D76" s="186"/>
      <c r="E76" s="186"/>
      <c r="F76" s="187"/>
      <c r="G76" s="17">
        <f>G75/12</f>
        <v>129.54708333333335</v>
      </c>
      <c r="H76" s="1"/>
    </row>
    <row r="77" spans="1:8" x14ac:dyDescent="0.2">
      <c r="A77" s="1"/>
      <c r="B77" s="1"/>
      <c r="C77" s="1"/>
      <c r="D77" s="1"/>
      <c r="E77" s="12"/>
      <c r="F77" s="12"/>
      <c r="G77" s="1"/>
      <c r="H77" s="1"/>
    </row>
    <row r="78" spans="1:8" x14ac:dyDescent="0.2">
      <c r="A78" s="13" t="s">
        <v>84</v>
      </c>
      <c r="B78" s="13" t="s">
        <v>5</v>
      </c>
      <c r="C78" s="13" t="s">
        <v>6</v>
      </c>
      <c r="D78" s="14" t="s">
        <v>7</v>
      </c>
      <c r="E78" s="14" t="s">
        <v>8</v>
      </c>
      <c r="F78" s="1"/>
      <c r="G78" s="1"/>
      <c r="H78" s="1"/>
    </row>
    <row r="79" spans="1:8" x14ac:dyDescent="0.2">
      <c r="A79" s="5" t="s">
        <v>85</v>
      </c>
      <c r="B79" s="18" t="s">
        <v>86</v>
      </c>
      <c r="C79" s="19">
        <v>2</v>
      </c>
      <c r="D79" s="20">
        <v>161.66999999999999</v>
      </c>
      <c r="E79" s="68">
        <f t="shared" ref="E79:E96" si="6">C79*D79</f>
        <v>323.33999999999997</v>
      </c>
      <c r="F79" s="80"/>
      <c r="G79" s="1"/>
      <c r="H79" s="1"/>
    </row>
    <row r="80" spans="1:8" x14ac:dyDescent="0.2">
      <c r="A80" s="5" t="s">
        <v>87</v>
      </c>
      <c r="B80" s="18" t="s">
        <v>10</v>
      </c>
      <c r="C80" s="19">
        <v>2</v>
      </c>
      <c r="D80" s="20">
        <v>81.319999999999993</v>
      </c>
      <c r="E80" s="68">
        <f t="shared" si="6"/>
        <v>162.63999999999999</v>
      </c>
      <c r="F80" s="80"/>
      <c r="G80" s="1"/>
      <c r="H80" s="1"/>
    </row>
    <row r="81" spans="1:8" x14ac:dyDescent="0.2">
      <c r="A81" s="5" t="s">
        <v>88</v>
      </c>
      <c r="B81" s="18" t="s">
        <v>10</v>
      </c>
      <c r="C81" s="19">
        <v>2</v>
      </c>
      <c r="D81" s="20">
        <v>24.51</v>
      </c>
      <c r="E81" s="68">
        <f t="shared" si="6"/>
        <v>49.02</v>
      </c>
      <c r="F81" s="80"/>
      <c r="G81" s="1"/>
      <c r="H81" s="1"/>
    </row>
    <row r="82" spans="1:8" x14ac:dyDescent="0.2">
      <c r="A82" s="5" t="s">
        <v>89</v>
      </c>
      <c r="B82" s="18" t="s">
        <v>10</v>
      </c>
      <c r="C82" s="19">
        <v>2</v>
      </c>
      <c r="D82" s="20">
        <v>26.6</v>
      </c>
      <c r="E82" s="68">
        <f t="shared" si="6"/>
        <v>53.2</v>
      </c>
      <c r="F82" s="80"/>
      <c r="G82" s="1"/>
      <c r="H82" s="1"/>
    </row>
    <row r="83" spans="1:8" x14ac:dyDescent="0.2">
      <c r="A83" s="5" t="s">
        <v>90</v>
      </c>
      <c r="B83" s="18" t="s">
        <v>10</v>
      </c>
      <c r="C83" s="18">
        <v>1</v>
      </c>
      <c r="D83" s="20">
        <v>173</v>
      </c>
      <c r="E83" s="68">
        <f t="shared" si="6"/>
        <v>173</v>
      </c>
      <c r="F83" s="69"/>
      <c r="G83" s="1"/>
      <c r="H83" s="1"/>
    </row>
    <row r="84" spans="1:8" x14ac:dyDescent="0.2">
      <c r="A84" s="5" t="s">
        <v>91</v>
      </c>
      <c r="B84" s="18" t="s">
        <v>10</v>
      </c>
      <c r="C84" s="18">
        <v>1</v>
      </c>
      <c r="D84" s="20">
        <v>250.65</v>
      </c>
      <c r="E84" s="68">
        <f t="shared" si="6"/>
        <v>250.65</v>
      </c>
      <c r="F84" s="69"/>
      <c r="G84" s="1"/>
      <c r="H84" s="1"/>
    </row>
    <row r="85" spans="1:8" x14ac:dyDescent="0.2">
      <c r="A85" s="5" t="s">
        <v>92</v>
      </c>
      <c r="B85" s="18" t="s">
        <v>10</v>
      </c>
      <c r="C85" s="18">
        <v>2</v>
      </c>
      <c r="D85" s="20">
        <v>164.41</v>
      </c>
      <c r="E85" s="68">
        <f t="shared" si="6"/>
        <v>328.82</v>
      </c>
      <c r="F85" s="69"/>
      <c r="G85" s="1"/>
      <c r="H85" s="1"/>
    </row>
    <row r="86" spans="1:8" x14ac:dyDescent="0.2">
      <c r="A86" s="5" t="s">
        <v>93</v>
      </c>
      <c r="B86" s="18" t="s">
        <v>10</v>
      </c>
      <c r="C86" s="18">
        <v>1</v>
      </c>
      <c r="D86" s="20">
        <v>30.07</v>
      </c>
      <c r="E86" s="68">
        <f t="shared" si="6"/>
        <v>30.07</v>
      </c>
      <c r="F86" s="69"/>
      <c r="G86" s="1"/>
      <c r="H86" s="1"/>
    </row>
    <row r="87" spans="1:8" x14ac:dyDescent="0.2">
      <c r="A87" s="5" t="s">
        <v>94</v>
      </c>
      <c r="B87" s="18" t="s">
        <v>10</v>
      </c>
      <c r="C87" s="18">
        <v>1</v>
      </c>
      <c r="D87" s="20">
        <v>58.37</v>
      </c>
      <c r="E87" s="68">
        <f t="shared" si="6"/>
        <v>58.37</v>
      </c>
      <c r="F87" s="69"/>
      <c r="G87" s="1"/>
      <c r="H87" s="1"/>
    </row>
    <row r="88" spans="1:8" x14ac:dyDescent="0.2">
      <c r="A88" s="5" t="s">
        <v>95</v>
      </c>
      <c r="B88" s="18" t="s">
        <v>10</v>
      </c>
      <c r="C88" s="18">
        <v>2</v>
      </c>
      <c r="D88" s="20">
        <v>9.1999999999999993</v>
      </c>
      <c r="E88" s="68">
        <f t="shared" si="6"/>
        <v>18.399999999999999</v>
      </c>
      <c r="F88" s="69"/>
      <c r="G88" s="1"/>
      <c r="H88" s="1"/>
    </row>
    <row r="89" spans="1:8" x14ac:dyDescent="0.2">
      <c r="A89" s="5" t="s">
        <v>96</v>
      </c>
      <c r="B89" s="18" t="s">
        <v>10</v>
      </c>
      <c r="C89" s="18">
        <v>1</v>
      </c>
      <c r="D89" s="20">
        <v>19.989999999999998</v>
      </c>
      <c r="E89" s="68">
        <f t="shared" si="6"/>
        <v>19.989999999999998</v>
      </c>
      <c r="F89" s="69"/>
      <c r="G89" s="1"/>
      <c r="H89" s="1"/>
    </row>
    <row r="90" spans="1:8" x14ac:dyDescent="0.2">
      <c r="A90" s="5" t="s">
        <v>97</v>
      </c>
      <c r="B90" s="18" t="s">
        <v>10</v>
      </c>
      <c r="C90" s="18">
        <v>4</v>
      </c>
      <c r="D90" s="20">
        <v>28.61</v>
      </c>
      <c r="E90" s="68">
        <f t="shared" si="6"/>
        <v>114.44</v>
      </c>
      <c r="F90" s="69"/>
      <c r="G90" s="1"/>
      <c r="H90" s="1"/>
    </row>
    <row r="91" spans="1:8" x14ac:dyDescent="0.2">
      <c r="A91" s="21" t="s">
        <v>98</v>
      </c>
      <c r="B91" s="18" t="s">
        <v>10</v>
      </c>
      <c r="C91" s="22">
        <v>6</v>
      </c>
      <c r="D91" s="20">
        <v>15.14</v>
      </c>
      <c r="E91" s="68">
        <f t="shared" si="6"/>
        <v>90.84</v>
      </c>
      <c r="F91" s="81"/>
      <c r="G91" s="23"/>
      <c r="H91" s="1"/>
    </row>
    <row r="92" spans="1:8" x14ac:dyDescent="0.2">
      <c r="A92" s="5" t="s">
        <v>99</v>
      </c>
      <c r="B92" s="18" t="s">
        <v>10</v>
      </c>
      <c r="C92" s="18">
        <v>4</v>
      </c>
      <c r="D92" s="20">
        <v>36.04</v>
      </c>
      <c r="E92" s="68">
        <f t="shared" si="6"/>
        <v>144.16</v>
      </c>
      <c r="F92" s="69"/>
      <c r="G92" s="1"/>
      <c r="H92" s="1"/>
    </row>
    <row r="93" spans="1:8" x14ac:dyDescent="0.2">
      <c r="A93" s="5" t="s">
        <v>100</v>
      </c>
      <c r="B93" s="18" t="s">
        <v>10</v>
      </c>
      <c r="C93" s="18">
        <v>2</v>
      </c>
      <c r="D93" s="20">
        <v>57.76</v>
      </c>
      <c r="E93" s="68">
        <f t="shared" si="6"/>
        <v>115.52</v>
      </c>
      <c r="F93" s="69"/>
      <c r="G93" s="1"/>
      <c r="H93" s="1"/>
    </row>
    <row r="94" spans="1:8" x14ac:dyDescent="0.2">
      <c r="A94" s="5" t="s">
        <v>101</v>
      </c>
      <c r="B94" s="18" t="s">
        <v>10</v>
      </c>
      <c r="C94" s="18">
        <v>2</v>
      </c>
      <c r="D94" s="20">
        <v>132.79</v>
      </c>
      <c r="E94" s="68">
        <f t="shared" si="6"/>
        <v>265.58</v>
      </c>
      <c r="F94" s="69"/>
      <c r="G94" s="1"/>
      <c r="H94" s="1"/>
    </row>
    <row r="95" spans="1:8" x14ac:dyDescent="0.2">
      <c r="A95" s="5" t="s">
        <v>102</v>
      </c>
      <c r="B95" s="18" t="s">
        <v>86</v>
      </c>
      <c r="C95" s="18">
        <v>2</v>
      </c>
      <c r="D95" s="20">
        <v>6.91</v>
      </c>
      <c r="E95" s="68">
        <f t="shared" si="6"/>
        <v>13.82</v>
      </c>
      <c r="F95" s="69"/>
      <c r="G95" s="1"/>
      <c r="H95" s="1"/>
    </row>
    <row r="96" spans="1:8" x14ac:dyDescent="0.2">
      <c r="A96" s="5" t="s">
        <v>103</v>
      </c>
      <c r="B96" s="18" t="s">
        <v>86</v>
      </c>
      <c r="C96" s="18">
        <v>2</v>
      </c>
      <c r="D96" s="20">
        <v>6.08</v>
      </c>
      <c r="E96" s="68">
        <f t="shared" si="6"/>
        <v>12.16</v>
      </c>
      <c r="F96" s="69"/>
      <c r="G96" s="1"/>
      <c r="H96" s="1"/>
    </row>
    <row r="97" spans="1:8" x14ac:dyDescent="0.2">
      <c r="A97" s="185" t="s">
        <v>104</v>
      </c>
      <c r="B97" s="186"/>
      <c r="C97" s="186"/>
      <c r="D97" s="187"/>
      <c r="E97" s="70">
        <f>SUM(E79:E96)</f>
        <v>2224.02</v>
      </c>
      <c r="F97" s="1"/>
      <c r="G97" s="1"/>
      <c r="H97" s="1"/>
    </row>
    <row r="98" spans="1:8" x14ac:dyDescent="0.2">
      <c r="A98" s="185" t="s">
        <v>105</v>
      </c>
      <c r="B98" s="186"/>
      <c r="C98" s="186"/>
      <c r="D98" s="187"/>
      <c r="E98" s="70">
        <f>E97/12</f>
        <v>185.33500000000001</v>
      </c>
      <c r="F98" s="12"/>
      <c r="G98" s="1"/>
      <c r="H98" s="1"/>
    </row>
    <row r="101" spans="1:8" x14ac:dyDescent="0.2">
      <c r="A101" s="183" t="s">
        <v>176</v>
      </c>
      <c r="B101" s="184"/>
      <c r="C101" s="184"/>
      <c r="D101" s="184"/>
      <c r="E101" s="171"/>
    </row>
    <row r="102" spans="1:8" x14ac:dyDescent="0.2">
      <c r="A102" s="2" t="s">
        <v>4</v>
      </c>
      <c r="B102" s="3" t="s">
        <v>5</v>
      </c>
      <c r="C102" s="3" t="s">
        <v>6</v>
      </c>
      <c r="D102" s="4" t="s">
        <v>7</v>
      </c>
      <c r="E102" s="4" t="s">
        <v>8</v>
      </c>
      <c r="F102" s="1"/>
    </row>
    <row r="103" spans="1:8" x14ac:dyDescent="0.2">
      <c r="A103" s="29" t="s">
        <v>108</v>
      </c>
      <c r="B103" s="18" t="s">
        <v>10</v>
      </c>
      <c r="C103" s="18">
        <v>1</v>
      </c>
      <c r="D103" s="30">
        <v>34.76</v>
      </c>
      <c r="E103" s="20">
        <f t="shared" ref="E103:E126" si="7">C103*D103</f>
        <v>34.76</v>
      </c>
      <c r="F103" s="1"/>
    </row>
    <row r="104" spans="1:8" x14ac:dyDescent="0.2">
      <c r="A104" s="29" t="s">
        <v>109</v>
      </c>
      <c r="B104" s="18" t="s">
        <v>10</v>
      </c>
      <c r="C104" s="18">
        <v>1</v>
      </c>
      <c r="D104" s="30">
        <v>62.53</v>
      </c>
      <c r="E104" s="20">
        <f t="shared" si="7"/>
        <v>62.53</v>
      </c>
      <c r="F104" s="1"/>
    </row>
    <row r="105" spans="1:8" x14ac:dyDescent="0.2">
      <c r="A105" s="29" t="s">
        <v>110</v>
      </c>
      <c r="B105" s="18" t="s">
        <v>10</v>
      </c>
      <c r="C105" s="18">
        <v>1</v>
      </c>
      <c r="D105" s="30">
        <v>40.64</v>
      </c>
      <c r="E105" s="20">
        <f t="shared" si="7"/>
        <v>40.64</v>
      </c>
      <c r="F105" s="1"/>
    </row>
    <row r="106" spans="1:8" x14ac:dyDescent="0.2">
      <c r="A106" s="29" t="s">
        <v>111</v>
      </c>
      <c r="B106" s="18" t="s">
        <v>10</v>
      </c>
      <c r="C106" s="18">
        <v>1</v>
      </c>
      <c r="D106" s="30">
        <v>48.18</v>
      </c>
      <c r="E106" s="20">
        <f t="shared" si="7"/>
        <v>48.18</v>
      </c>
      <c r="F106" s="1"/>
    </row>
    <row r="107" spans="1:8" x14ac:dyDescent="0.2">
      <c r="A107" s="29" t="s">
        <v>112</v>
      </c>
      <c r="B107" s="18" t="s">
        <v>10</v>
      </c>
      <c r="C107" s="18">
        <v>1</v>
      </c>
      <c r="D107" s="30">
        <v>43.12</v>
      </c>
      <c r="E107" s="20">
        <f t="shared" si="7"/>
        <v>43.12</v>
      </c>
      <c r="F107" s="1"/>
    </row>
    <row r="108" spans="1:8" x14ac:dyDescent="0.2">
      <c r="A108" s="29" t="s">
        <v>113</v>
      </c>
      <c r="B108" s="18" t="s">
        <v>10</v>
      </c>
      <c r="C108" s="18">
        <v>1</v>
      </c>
      <c r="D108" s="30">
        <v>35.369999999999997</v>
      </c>
      <c r="E108" s="20">
        <f t="shared" si="7"/>
        <v>35.369999999999997</v>
      </c>
      <c r="F108" s="1"/>
    </row>
    <row r="109" spans="1:8" x14ac:dyDescent="0.2">
      <c r="A109" s="29" t="s">
        <v>114</v>
      </c>
      <c r="B109" s="18" t="s">
        <v>10</v>
      </c>
      <c r="C109" s="18">
        <v>1</v>
      </c>
      <c r="D109" s="30">
        <v>59.65</v>
      </c>
      <c r="E109" s="20">
        <f t="shared" si="7"/>
        <v>59.65</v>
      </c>
      <c r="F109" s="1"/>
    </row>
    <row r="110" spans="1:8" x14ac:dyDescent="0.2">
      <c r="A110" s="29" t="s">
        <v>115</v>
      </c>
      <c r="B110" s="18" t="s">
        <v>10</v>
      </c>
      <c r="C110" s="18">
        <v>1</v>
      </c>
      <c r="D110" s="30">
        <v>156.30000000000001</v>
      </c>
      <c r="E110" s="20">
        <f t="shared" si="7"/>
        <v>156.30000000000001</v>
      </c>
      <c r="F110" s="1"/>
    </row>
    <row r="111" spans="1:8" x14ac:dyDescent="0.2">
      <c r="A111" s="29" t="s">
        <v>116</v>
      </c>
      <c r="B111" s="18" t="s">
        <v>10</v>
      </c>
      <c r="C111" s="18">
        <v>1</v>
      </c>
      <c r="D111" s="30">
        <v>45.02</v>
      </c>
      <c r="E111" s="20">
        <f t="shared" si="7"/>
        <v>45.02</v>
      </c>
      <c r="F111" s="1"/>
    </row>
    <row r="112" spans="1:8" x14ac:dyDescent="0.2">
      <c r="A112" s="29" t="s">
        <v>117</v>
      </c>
      <c r="B112" s="18" t="s">
        <v>10</v>
      </c>
      <c r="C112" s="18">
        <v>1</v>
      </c>
      <c r="D112" s="30">
        <v>89.97</v>
      </c>
      <c r="E112" s="20">
        <f t="shared" si="7"/>
        <v>89.97</v>
      </c>
      <c r="F112" s="1"/>
    </row>
    <row r="113" spans="1:6" x14ac:dyDescent="0.2">
      <c r="A113" s="29" t="s">
        <v>118</v>
      </c>
      <c r="B113" s="18" t="s">
        <v>10</v>
      </c>
      <c r="C113" s="18">
        <v>1</v>
      </c>
      <c r="D113" s="30">
        <v>54.97</v>
      </c>
      <c r="E113" s="20">
        <f t="shared" si="7"/>
        <v>54.97</v>
      </c>
      <c r="F113" s="1"/>
    </row>
    <row r="114" spans="1:6" x14ac:dyDescent="0.2">
      <c r="A114" s="29" t="s">
        <v>42</v>
      </c>
      <c r="B114" s="18" t="s">
        <v>10</v>
      </c>
      <c r="C114" s="18">
        <v>1</v>
      </c>
      <c r="D114" s="30">
        <v>43.37</v>
      </c>
      <c r="E114" s="20">
        <f t="shared" si="7"/>
        <v>43.37</v>
      </c>
      <c r="F114" s="1"/>
    </row>
    <row r="115" spans="1:6" x14ac:dyDescent="0.2">
      <c r="A115" s="29" t="s">
        <v>119</v>
      </c>
      <c r="B115" s="18" t="s">
        <v>10</v>
      </c>
      <c r="C115" s="18">
        <v>1</v>
      </c>
      <c r="D115" s="30">
        <v>336.68</v>
      </c>
      <c r="E115" s="20">
        <f t="shared" si="7"/>
        <v>336.68</v>
      </c>
      <c r="F115" s="1"/>
    </row>
    <row r="116" spans="1:6" x14ac:dyDescent="0.2">
      <c r="A116" s="29" t="s">
        <v>120</v>
      </c>
      <c r="B116" s="18" t="s">
        <v>121</v>
      </c>
      <c r="C116" s="6">
        <v>12</v>
      </c>
      <c r="D116" s="31">
        <v>22.22</v>
      </c>
      <c r="E116" s="7">
        <f t="shared" si="7"/>
        <v>266.64</v>
      </c>
      <c r="F116" s="1"/>
    </row>
    <row r="117" spans="1:6" x14ac:dyDescent="0.2">
      <c r="A117" s="29" t="s">
        <v>122</v>
      </c>
      <c r="B117" s="18" t="s">
        <v>10</v>
      </c>
      <c r="C117" s="18">
        <v>1</v>
      </c>
      <c r="D117" s="30">
        <v>29.29</v>
      </c>
      <c r="E117" s="20">
        <f t="shared" si="7"/>
        <v>29.29</v>
      </c>
      <c r="F117" s="1"/>
    </row>
    <row r="118" spans="1:6" x14ac:dyDescent="0.2">
      <c r="A118" s="29" t="s">
        <v>123</v>
      </c>
      <c r="B118" s="18" t="s">
        <v>10</v>
      </c>
      <c r="C118" s="18">
        <v>1</v>
      </c>
      <c r="D118" s="30">
        <v>27.2</v>
      </c>
      <c r="E118" s="20">
        <f t="shared" si="7"/>
        <v>27.2</v>
      </c>
      <c r="F118" s="1"/>
    </row>
    <row r="119" spans="1:6" x14ac:dyDescent="0.2">
      <c r="A119" s="29" t="s">
        <v>124</v>
      </c>
      <c r="B119" s="18" t="s">
        <v>10</v>
      </c>
      <c r="C119" s="18">
        <v>1</v>
      </c>
      <c r="D119" s="30">
        <v>86.04</v>
      </c>
      <c r="E119" s="20">
        <f t="shared" si="7"/>
        <v>86.04</v>
      </c>
      <c r="F119" s="1"/>
    </row>
    <row r="120" spans="1:6" x14ac:dyDescent="0.2">
      <c r="A120" s="29" t="s">
        <v>125</v>
      </c>
      <c r="B120" s="18" t="s">
        <v>10</v>
      </c>
      <c r="C120" s="18">
        <v>1</v>
      </c>
      <c r="D120" s="30">
        <v>33.85</v>
      </c>
      <c r="E120" s="20">
        <f t="shared" si="7"/>
        <v>33.85</v>
      </c>
      <c r="F120" s="1"/>
    </row>
    <row r="121" spans="1:6" x14ac:dyDescent="0.2">
      <c r="A121" s="29" t="s">
        <v>126</v>
      </c>
      <c r="B121" s="18" t="s">
        <v>10</v>
      </c>
      <c r="C121" s="18">
        <v>1</v>
      </c>
      <c r="D121" s="30">
        <v>30.19</v>
      </c>
      <c r="E121" s="20">
        <f t="shared" si="7"/>
        <v>30.19</v>
      </c>
      <c r="F121" s="1"/>
    </row>
    <row r="122" spans="1:6" x14ac:dyDescent="0.2">
      <c r="A122" s="29" t="s">
        <v>127</v>
      </c>
      <c r="B122" s="18" t="s">
        <v>10</v>
      </c>
      <c r="C122" s="18">
        <v>12</v>
      </c>
      <c r="D122" s="20">
        <v>107.97</v>
      </c>
      <c r="E122" s="20">
        <f t="shared" si="7"/>
        <v>1295.6399999999999</v>
      </c>
      <c r="F122" s="1"/>
    </row>
    <row r="123" spans="1:6" x14ac:dyDescent="0.2">
      <c r="A123" s="29" t="s">
        <v>128</v>
      </c>
      <c r="B123" s="18" t="s">
        <v>10</v>
      </c>
      <c r="C123" s="18">
        <v>1</v>
      </c>
      <c r="D123" s="20">
        <v>52.34</v>
      </c>
      <c r="E123" s="20">
        <f t="shared" si="7"/>
        <v>52.34</v>
      </c>
      <c r="F123" s="1"/>
    </row>
    <row r="124" spans="1:6" x14ac:dyDescent="0.2">
      <c r="A124" s="29" t="s">
        <v>129</v>
      </c>
      <c r="B124" s="18" t="s">
        <v>10</v>
      </c>
      <c r="C124" s="18">
        <v>1</v>
      </c>
      <c r="D124" s="20">
        <v>17.3</v>
      </c>
      <c r="E124" s="20">
        <f t="shared" si="7"/>
        <v>17.3</v>
      </c>
      <c r="F124" s="1"/>
    </row>
    <row r="125" spans="1:6" x14ac:dyDescent="0.2">
      <c r="A125" s="29" t="s">
        <v>130</v>
      </c>
      <c r="B125" s="18" t="s">
        <v>10</v>
      </c>
      <c r="C125" s="18">
        <v>12</v>
      </c>
      <c r="D125" s="20">
        <v>75.97</v>
      </c>
      <c r="E125" s="20">
        <f t="shared" si="7"/>
        <v>911.64</v>
      </c>
      <c r="F125" s="1"/>
    </row>
    <row r="126" spans="1:6" x14ac:dyDescent="0.2">
      <c r="A126" s="29" t="s">
        <v>131</v>
      </c>
      <c r="B126" s="18" t="s">
        <v>10</v>
      </c>
      <c r="C126" s="18">
        <v>3</v>
      </c>
      <c r="D126" s="20">
        <v>138.75</v>
      </c>
      <c r="E126" s="20">
        <f t="shared" si="7"/>
        <v>416.25</v>
      </c>
      <c r="F126" s="1"/>
    </row>
    <row r="127" spans="1:6" x14ac:dyDescent="0.2">
      <c r="A127" s="185" t="s">
        <v>62</v>
      </c>
      <c r="B127" s="186"/>
      <c r="C127" s="186"/>
      <c r="D127" s="187"/>
      <c r="E127" s="32">
        <f>SUM(E103:E126)</f>
        <v>4216.9400000000005</v>
      </c>
      <c r="F127" s="1"/>
    </row>
    <row r="128" spans="1:6" x14ac:dyDescent="0.2">
      <c r="A128" s="185" t="s">
        <v>63</v>
      </c>
      <c r="B128" s="186"/>
      <c r="C128" s="186"/>
      <c r="D128" s="187"/>
      <c r="E128" s="32">
        <f>E127/12</f>
        <v>351.41166666666669</v>
      </c>
      <c r="F128" s="1"/>
    </row>
    <row r="129" spans="1:7" x14ac:dyDescent="0.2">
      <c r="A129" s="10"/>
      <c r="B129" s="10"/>
      <c r="C129" s="10"/>
      <c r="D129" s="10"/>
      <c r="E129" s="33"/>
      <c r="F129" s="10"/>
    </row>
    <row r="130" spans="1:7" x14ac:dyDescent="0.2">
      <c r="A130" s="2" t="s">
        <v>132</v>
      </c>
      <c r="B130" s="3" t="s">
        <v>5</v>
      </c>
      <c r="C130" s="3" t="s">
        <v>133</v>
      </c>
      <c r="D130" s="3" t="s">
        <v>6</v>
      </c>
      <c r="E130" s="4" t="s">
        <v>7</v>
      </c>
      <c r="F130" s="4" t="s">
        <v>8</v>
      </c>
    </row>
    <row r="131" spans="1:7" x14ac:dyDescent="0.2">
      <c r="A131" s="29" t="s">
        <v>134</v>
      </c>
      <c r="B131" s="6" t="s">
        <v>135</v>
      </c>
      <c r="C131" s="34">
        <v>25</v>
      </c>
      <c r="D131" s="34">
        <f t="shared" ref="D131:D132" si="8">C131*12</f>
        <v>300</v>
      </c>
      <c r="E131" s="31">
        <v>5.68</v>
      </c>
      <c r="F131" s="31">
        <f t="shared" ref="F131:F132" si="9">D131*E131</f>
        <v>1704</v>
      </c>
    </row>
    <row r="132" spans="1:7" x14ac:dyDescent="0.2">
      <c r="A132" s="35" t="s">
        <v>136</v>
      </c>
      <c r="B132" s="36" t="s">
        <v>137</v>
      </c>
      <c r="C132" s="37">
        <v>2</v>
      </c>
      <c r="D132" s="37">
        <f t="shared" si="8"/>
        <v>24</v>
      </c>
      <c r="E132" s="38">
        <v>21.12</v>
      </c>
      <c r="F132" s="38">
        <f t="shared" si="9"/>
        <v>506.88</v>
      </c>
    </row>
    <row r="133" spans="1:7" x14ac:dyDescent="0.2">
      <c r="A133" s="189" t="s">
        <v>138</v>
      </c>
      <c r="B133" s="184"/>
      <c r="C133" s="184"/>
      <c r="D133" s="184"/>
      <c r="E133" s="171"/>
      <c r="F133" s="39">
        <f>SUM(F131:F132)</f>
        <v>2210.88</v>
      </c>
    </row>
    <row r="134" spans="1:7" x14ac:dyDescent="0.2">
      <c r="A134" s="189" t="s">
        <v>139</v>
      </c>
      <c r="B134" s="184"/>
      <c r="C134" s="184"/>
      <c r="D134" s="184"/>
      <c r="E134" s="171"/>
      <c r="F134" s="40">
        <f>F133/12</f>
        <v>184.24</v>
      </c>
    </row>
    <row r="135" spans="1:7" x14ac:dyDescent="0.2">
      <c r="A135" s="1"/>
      <c r="B135" s="1"/>
      <c r="C135" s="1"/>
      <c r="D135" s="1"/>
      <c r="E135" s="12"/>
      <c r="F135" s="12"/>
    </row>
    <row r="136" spans="1:7" x14ac:dyDescent="0.2">
      <c r="A136" s="13" t="s">
        <v>72</v>
      </c>
      <c r="B136" s="13" t="s">
        <v>5</v>
      </c>
      <c r="C136" s="13" t="s">
        <v>73</v>
      </c>
      <c r="D136" s="13" t="s">
        <v>74</v>
      </c>
      <c r="E136" s="13" t="s">
        <v>6</v>
      </c>
      <c r="F136" s="14" t="s">
        <v>7</v>
      </c>
      <c r="G136" s="14" t="s">
        <v>8</v>
      </c>
    </row>
    <row r="137" spans="1:7" x14ac:dyDescent="0.2">
      <c r="A137" s="41" t="s">
        <v>140</v>
      </c>
      <c r="B137" s="42" t="s">
        <v>10</v>
      </c>
      <c r="C137" s="43">
        <v>1</v>
      </c>
      <c r="D137" s="44">
        <v>24</v>
      </c>
      <c r="E137" s="45">
        <f t="shared" ref="E137:E139" si="10">12/D137*C137</f>
        <v>0.5</v>
      </c>
      <c r="F137" s="46">
        <v>2379.04</v>
      </c>
      <c r="G137" s="46">
        <f t="shared" ref="G137:G139" si="11">E137*F137</f>
        <v>1189.52</v>
      </c>
    </row>
    <row r="138" spans="1:7" x14ac:dyDescent="0.2">
      <c r="A138" s="29" t="s">
        <v>141</v>
      </c>
      <c r="B138" s="18" t="s">
        <v>10</v>
      </c>
      <c r="C138" s="22">
        <v>1</v>
      </c>
      <c r="D138" s="47">
        <v>24</v>
      </c>
      <c r="E138" s="48">
        <f t="shared" si="10"/>
        <v>0.5</v>
      </c>
      <c r="F138" s="49">
        <v>896.68</v>
      </c>
      <c r="G138" s="49">
        <f t="shared" si="11"/>
        <v>448.34</v>
      </c>
    </row>
    <row r="139" spans="1:7" x14ac:dyDescent="0.2">
      <c r="A139" s="29" t="s">
        <v>142</v>
      </c>
      <c r="B139" s="18" t="s">
        <v>10</v>
      </c>
      <c r="C139" s="22">
        <v>1</v>
      </c>
      <c r="D139" s="47">
        <v>24</v>
      </c>
      <c r="E139" s="48">
        <f t="shared" si="10"/>
        <v>0.5</v>
      </c>
      <c r="F139" s="49">
        <v>495.97</v>
      </c>
      <c r="G139" s="49">
        <f t="shared" si="11"/>
        <v>247.98500000000001</v>
      </c>
    </row>
    <row r="140" spans="1:7" x14ac:dyDescent="0.2">
      <c r="A140" s="190" t="s">
        <v>82</v>
      </c>
      <c r="B140" s="186"/>
      <c r="C140" s="186"/>
      <c r="D140" s="186"/>
      <c r="E140" s="186"/>
      <c r="F140" s="187"/>
      <c r="G140" s="39">
        <f>SUM(G137:G139)</f>
        <v>1885.8449999999998</v>
      </c>
    </row>
    <row r="141" spans="1:7" x14ac:dyDescent="0.2">
      <c r="A141" s="190" t="s">
        <v>83</v>
      </c>
      <c r="B141" s="186"/>
      <c r="C141" s="186"/>
      <c r="D141" s="186"/>
      <c r="E141" s="186"/>
      <c r="F141" s="187"/>
      <c r="G141" s="40">
        <f>G140/12</f>
        <v>157.15374999999997</v>
      </c>
    </row>
    <row r="142" spans="1:7" x14ac:dyDescent="0.2">
      <c r="A142" s="1"/>
      <c r="B142" s="1"/>
      <c r="C142" s="1"/>
      <c r="D142" s="1"/>
      <c r="E142" s="12"/>
      <c r="F142" s="12"/>
    </row>
    <row r="143" spans="1:7" x14ac:dyDescent="0.2">
      <c r="A143" s="13" t="s">
        <v>84</v>
      </c>
      <c r="B143" s="13" t="s">
        <v>10</v>
      </c>
      <c r="C143" s="13" t="s">
        <v>143</v>
      </c>
      <c r="D143" s="14" t="s">
        <v>144</v>
      </c>
      <c r="E143" s="14" t="s">
        <v>145</v>
      </c>
      <c r="F143" s="1"/>
    </row>
    <row r="144" spans="1:7" x14ac:dyDescent="0.2">
      <c r="A144" s="29" t="s">
        <v>85</v>
      </c>
      <c r="B144" s="18" t="s">
        <v>86</v>
      </c>
      <c r="C144" s="82">
        <v>4</v>
      </c>
      <c r="D144" s="20">
        <v>161.66999999999999</v>
      </c>
      <c r="E144" s="20">
        <f t="shared" ref="E144:E160" si="12">C144*D144</f>
        <v>646.67999999999995</v>
      </c>
      <c r="F144" s="1"/>
    </row>
    <row r="145" spans="1:6" x14ac:dyDescent="0.2">
      <c r="A145" s="29" t="s">
        <v>146</v>
      </c>
      <c r="B145" s="18" t="s">
        <v>10</v>
      </c>
      <c r="C145" s="83">
        <v>8</v>
      </c>
      <c r="D145" s="20">
        <v>81.319999999999993</v>
      </c>
      <c r="E145" s="20">
        <f t="shared" si="12"/>
        <v>650.55999999999995</v>
      </c>
      <c r="F145" s="1"/>
    </row>
    <row r="146" spans="1:6" x14ac:dyDescent="0.2">
      <c r="A146" s="29" t="s">
        <v>88</v>
      </c>
      <c r="B146" s="18" t="s">
        <v>10</v>
      </c>
      <c r="C146" s="83">
        <v>10</v>
      </c>
      <c r="D146" s="20">
        <v>24.51</v>
      </c>
      <c r="E146" s="20">
        <f t="shared" si="12"/>
        <v>245.10000000000002</v>
      </c>
      <c r="F146" s="1"/>
    </row>
    <row r="147" spans="1:6" x14ac:dyDescent="0.2">
      <c r="A147" s="29" t="s">
        <v>89</v>
      </c>
      <c r="B147" s="18" t="s">
        <v>10</v>
      </c>
      <c r="C147" s="83">
        <v>4</v>
      </c>
      <c r="D147" s="20">
        <v>26.6</v>
      </c>
      <c r="E147" s="20">
        <f t="shared" si="12"/>
        <v>106.4</v>
      </c>
      <c r="F147" s="1"/>
    </row>
    <row r="148" spans="1:6" x14ac:dyDescent="0.2">
      <c r="A148" s="29" t="s">
        <v>147</v>
      </c>
      <c r="B148" s="18" t="s">
        <v>10</v>
      </c>
      <c r="C148" s="83">
        <v>2</v>
      </c>
      <c r="D148" s="20">
        <v>53.75</v>
      </c>
      <c r="E148" s="20">
        <f t="shared" si="12"/>
        <v>107.5</v>
      </c>
      <c r="F148" s="1"/>
    </row>
    <row r="149" spans="1:6" x14ac:dyDescent="0.2">
      <c r="A149" s="29" t="s">
        <v>96</v>
      </c>
      <c r="B149" s="18" t="s">
        <v>10</v>
      </c>
      <c r="C149" s="83">
        <v>3</v>
      </c>
      <c r="D149" s="20">
        <v>19.989999999999998</v>
      </c>
      <c r="E149" s="20">
        <f t="shared" si="12"/>
        <v>59.97</v>
      </c>
      <c r="F149" s="1"/>
    </row>
    <row r="150" spans="1:6" x14ac:dyDescent="0.2">
      <c r="A150" s="29" t="s">
        <v>148</v>
      </c>
      <c r="B150" s="18" t="s">
        <v>10</v>
      </c>
      <c r="C150" s="83">
        <v>2</v>
      </c>
      <c r="D150" s="20">
        <v>48.2</v>
      </c>
      <c r="E150" s="20">
        <f t="shared" si="12"/>
        <v>96.4</v>
      </c>
      <c r="F150" s="1"/>
    </row>
    <row r="151" spans="1:6" x14ac:dyDescent="0.2">
      <c r="A151" s="29" t="s">
        <v>149</v>
      </c>
      <c r="B151" s="18" t="s">
        <v>10</v>
      </c>
      <c r="C151" s="83">
        <v>6</v>
      </c>
      <c r="D151" s="20">
        <v>5.75</v>
      </c>
      <c r="E151" s="20">
        <f t="shared" si="12"/>
        <v>34.5</v>
      </c>
      <c r="F151" s="1"/>
    </row>
    <row r="152" spans="1:6" x14ac:dyDescent="0.2">
      <c r="A152" s="29" t="s">
        <v>150</v>
      </c>
      <c r="B152" s="18" t="s">
        <v>10</v>
      </c>
      <c r="C152" s="83">
        <v>6</v>
      </c>
      <c r="D152" s="20">
        <v>16.86</v>
      </c>
      <c r="E152" s="20">
        <f t="shared" si="12"/>
        <v>101.16</v>
      </c>
      <c r="F152" s="1"/>
    </row>
    <row r="153" spans="1:6" x14ac:dyDescent="0.2">
      <c r="A153" s="29" t="s">
        <v>95</v>
      </c>
      <c r="B153" s="18" t="s">
        <v>10</v>
      </c>
      <c r="C153" s="83">
        <v>6</v>
      </c>
      <c r="D153" s="20">
        <v>9.1999999999999993</v>
      </c>
      <c r="E153" s="20">
        <f t="shared" si="12"/>
        <v>55.199999999999996</v>
      </c>
      <c r="F153" s="1"/>
    </row>
    <row r="154" spans="1:6" x14ac:dyDescent="0.2">
      <c r="A154" s="29" t="s">
        <v>99</v>
      </c>
      <c r="B154" s="18" t="s">
        <v>10</v>
      </c>
      <c r="C154" s="83">
        <v>12</v>
      </c>
      <c r="D154" s="20">
        <v>36.04</v>
      </c>
      <c r="E154" s="20">
        <f t="shared" si="12"/>
        <v>432.48</v>
      </c>
      <c r="F154" s="1"/>
    </row>
    <row r="155" spans="1:6" x14ac:dyDescent="0.2">
      <c r="A155" s="29" t="s">
        <v>98</v>
      </c>
      <c r="B155" s="18" t="s">
        <v>10</v>
      </c>
      <c r="C155" s="83">
        <v>12</v>
      </c>
      <c r="D155" s="20">
        <v>15.14</v>
      </c>
      <c r="E155" s="20">
        <f t="shared" si="12"/>
        <v>181.68</v>
      </c>
      <c r="F155" s="1"/>
    </row>
    <row r="156" spans="1:6" x14ac:dyDescent="0.2">
      <c r="A156" s="29" t="s">
        <v>97</v>
      </c>
      <c r="B156" s="18" t="s">
        <v>10</v>
      </c>
      <c r="C156" s="83">
        <v>2</v>
      </c>
      <c r="D156" s="20">
        <v>28.61</v>
      </c>
      <c r="E156" s="20">
        <f t="shared" si="12"/>
        <v>57.22</v>
      </c>
      <c r="F156" s="1"/>
    </row>
    <row r="157" spans="1:6" x14ac:dyDescent="0.2">
      <c r="A157" s="29" t="s">
        <v>151</v>
      </c>
      <c r="B157" s="18" t="s">
        <v>10</v>
      </c>
      <c r="C157" s="83">
        <v>1</v>
      </c>
      <c r="D157" s="20">
        <v>21.8</v>
      </c>
      <c r="E157" s="20">
        <f t="shared" si="12"/>
        <v>21.8</v>
      </c>
      <c r="F157" s="1"/>
    </row>
    <row r="158" spans="1:6" x14ac:dyDescent="0.2">
      <c r="A158" s="29" t="s">
        <v>152</v>
      </c>
      <c r="B158" s="18" t="s">
        <v>10</v>
      </c>
      <c r="C158" s="83">
        <v>1</v>
      </c>
      <c r="D158" s="20">
        <v>28.56</v>
      </c>
      <c r="E158" s="20">
        <f t="shared" si="12"/>
        <v>28.56</v>
      </c>
      <c r="F158" s="1"/>
    </row>
    <row r="159" spans="1:6" x14ac:dyDescent="0.2">
      <c r="A159" s="29" t="s">
        <v>100</v>
      </c>
      <c r="B159" s="18" t="s">
        <v>10</v>
      </c>
      <c r="C159" s="83">
        <v>2</v>
      </c>
      <c r="D159" s="20">
        <v>57.76</v>
      </c>
      <c r="E159" s="20">
        <f t="shared" si="12"/>
        <v>115.52</v>
      </c>
      <c r="F159" s="1"/>
    </row>
    <row r="160" spans="1:6" x14ac:dyDescent="0.2">
      <c r="A160" s="29" t="s">
        <v>101</v>
      </c>
      <c r="B160" s="18" t="s">
        <v>10</v>
      </c>
      <c r="C160" s="83">
        <v>1</v>
      </c>
      <c r="D160" s="20">
        <v>132.79</v>
      </c>
      <c r="E160" s="20">
        <f t="shared" si="12"/>
        <v>132.79</v>
      </c>
      <c r="F160" s="1"/>
    </row>
    <row r="161" spans="1:8" x14ac:dyDescent="0.2">
      <c r="A161" s="190" t="s">
        <v>104</v>
      </c>
      <c r="B161" s="186"/>
      <c r="C161" s="186"/>
      <c r="D161" s="187"/>
      <c r="E161" s="50">
        <f>SUM(E144:E160)</f>
        <v>3073.5199999999995</v>
      </c>
      <c r="F161" s="1"/>
    </row>
    <row r="162" spans="1:8" x14ac:dyDescent="0.2">
      <c r="A162" s="190" t="s">
        <v>105</v>
      </c>
      <c r="B162" s="186"/>
      <c r="C162" s="186"/>
      <c r="D162" s="187"/>
      <c r="E162" s="50">
        <f>E161/12</f>
        <v>256.12666666666661</v>
      </c>
      <c r="F162" s="12"/>
    </row>
    <row r="164" spans="1:8" ht="15" customHeight="1" x14ac:dyDescent="0.25">
      <c r="A164" s="51" t="s">
        <v>153</v>
      </c>
      <c r="B164" s="191" t="s">
        <v>8</v>
      </c>
      <c r="C164" s="171"/>
      <c r="D164" s="191" t="s">
        <v>154</v>
      </c>
      <c r="E164" s="171"/>
      <c r="F164" s="191" t="s">
        <v>155</v>
      </c>
      <c r="G164" s="171"/>
    </row>
    <row r="165" spans="1:8" x14ac:dyDescent="0.2">
      <c r="A165" s="52" t="s">
        <v>156</v>
      </c>
      <c r="B165" s="173">
        <f>(E56+G64+G75+E97)</f>
        <v>21835.517</v>
      </c>
      <c r="C165" s="171"/>
      <c r="D165" s="174">
        <f>(E57+G65+G76+E98)</f>
        <v>1819.626416666667</v>
      </c>
      <c r="E165" s="171"/>
      <c r="F165" s="174">
        <f t="shared" ref="F165:F175" si="13">B165/12</f>
        <v>1819.6264166666667</v>
      </c>
      <c r="G165" s="171"/>
      <c r="H165" s="53"/>
    </row>
    <row r="166" spans="1:8" x14ac:dyDescent="0.2">
      <c r="A166" s="54" t="s">
        <v>157</v>
      </c>
      <c r="B166" s="172">
        <f>E56</f>
        <v>4692.9399999999996</v>
      </c>
      <c r="C166" s="171"/>
      <c r="D166" s="172">
        <f>E57</f>
        <v>391.07833333333332</v>
      </c>
      <c r="E166" s="171"/>
      <c r="F166" s="172">
        <f t="shared" si="13"/>
        <v>391.07833333333332</v>
      </c>
      <c r="G166" s="171"/>
    </row>
    <row r="167" spans="1:8" x14ac:dyDescent="0.2">
      <c r="A167" s="54" t="s">
        <v>158</v>
      </c>
      <c r="B167" s="172">
        <f>G64</f>
        <v>13363.992000000002</v>
      </c>
      <c r="C167" s="171"/>
      <c r="D167" s="172">
        <f>G65</f>
        <v>1113.6660000000002</v>
      </c>
      <c r="E167" s="171"/>
      <c r="F167" s="172">
        <f t="shared" si="13"/>
        <v>1113.6660000000002</v>
      </c>
      <c r="G167" s="171"/>
    </row>
    <row r="168" spans="1:8" x14ac:dyDescent="0.2">
      <c r="A168" s="54" t="s">
        <v>159</v>
      </c>
      <c r="B168" s="170">
        <f>G75</f>
        <v>1554.5650000000001</v>
      </c>
      <c r="C168" s="171"/>
      <c r="D168" s="170">
        <f>G76</f>
        <v>129.54708333333335</v>
      </c>
      <c r="E168" s="171"/>
      <c r="F168" s="172">
        <f t="shared" si="13"/>
        <v>129.54708333333335</v>
      </c>
      <c r="G168" s="171"/>
    </row>
    <row r="169" spans="1:8" x14ac:dyDescent="0.2">
      <c r="A169" s="54" t="s">
        <v>160</v>
      </c>
      <c r="B169" s="170">
        <f>E97</f>
        <v>2224.02</v>
      </c>
      <c r="C169" s="171"/>
      <c r="D169" s="170">
        <f>E98</f>
        <v>185.33500000000001</v>
      </c>
      <c r="E169" s="171"/>
      <c r="F169" s="172">
        <f t="shared" si="13"/>
        <v>185.33500000000001</v>
      </c>
      <c r="G169" s="171"/>
    </row>
    <row r="170" spans="1:8" x14ac:dyDescent="0.2">
      <c r="A170" s="52" t="s">
        <v>162</v>
      </c>
      <c r="B170" s="174">
        <f>(E127+F133+G140+E161)</f>
        <v>11387.185000000001</v>
      </c>
      <c r="C170" s="171"/>
      <c r="D170" s="174">
        <f>(E128+F134+G141+E162)</f>
        <v>948.93208333333314</v>
      </c>
      <c r="E170" s="171"/>
      <c r="F170" s="174">
        <f t="shared" si="13"/>
        <v>948.93208333333348</v>
      </c>
      <c r="G170" s="171"/>
    </row>
    <row r="171" spans="1:8" x14ac:dyDescent="0.2">
      <c r="A171" s="54" t="s">
        <v>157</v>
      </c>
      <c r="B171" s="175">
        <f>E127</f>
        <v>4216.9400000000005</v>
      </c>
      <c r="C171" s="171"/>
      <c r="D171" s="175">
        <f>E128</f>
        <v>351.41166666666669</v>
      </c>
      <c r="E171" s="171"/>
      <c r="F171" s="172">
        <f t="shared" si="13"/>
        <v>351.41166666666669</v>
      </c>
      <c r="G171" s="171"/>
      <c r="H171" s="55"/>
    </row>
    <row r="172" spans="1:8" x14ac:dyDescent="0.2">
      <c r="A172" s="54" t="s">
        <v>163</v>
      </c>
      <c r="B172" s="175">
        <f>F133</f>
        <v>2210.88</v>
      </c>
      <c r="C172" s="171"/>
      <c r="D172" s="175">
        <f>F134</f>
        <v>184.24</v>
      </c>
      <c r="E172" s="171"/>
      <c r="F172" s="172">
        <f t="shared" si="13"/>
        <v>184.24</v>
      </c>
      <c r="G172" s="171"/>
      <c r="H172" s="55"/>
    </row>
    <row r="173" spans="1:8" x14ac:dyDescent="0.2">
      <c r="A173" s="54" t="s">
        <v>159</v>
      </c>
      <c r="B173" s="175">
        <f>G140</f>
        <v>1885.8449999999998</v>
      </c>
      <c r="C173" s="171"/>
      <c r="D173" s="175">
        <f>G141</f>
        <v>157.15374999999997</v>
      </c>
      <c r="E173" s="171"/>
      <c r="F173" s="172">
        <f t="shared" si="13"/>
        <v>157.15374999999997</v>
      </c>
      <c r="G173" s="171"/>
      <c r="H173" s="55"/>
    </row>
    <row r="174" spans="1:8" x14ac:dyDescent="0.2">
      <c r="A174" s="54" t="s">
        <v>160</v>
      </c>
      <c r="B174" s="175">
        <f>E161</f>
        <v>3073.5199999999995</v>
      </c>
      <c r="C174" s="171"/>
      <c r="D174" s="175">
        <f>E162</f>
        <v>256.12666666666661</v>
      </c>
      <c r="E174" s="171"/>
      <c r="F174" s="172">
        <f t="shared" si="13"/>
        <v>256.12666666666661</v>
      </c>
      <c r="G174" s="171"/>
      <c r="H174" s="55"/>
    </row>
    <row r="175" spans="1:8" x14ac:dyDescent="0.2">
      <c r="A175" s="56" t="s">
        <v>164</v>
      </c>
      <c r="B175" s="176">
        <f>B165+B170</f>
        <v>33222.702000000005</v>
      </c>
      <c r="C175" s="171"/>
      <c r="D175" s="176">
        <f>D165+D170</f>
        <v>2768.5585000000001</v>
      </c>
      <c r="E175" s="171"/>
      <c r="F175" s="174">
        <f t="shared" si="13"/>
        <v>2768.5585000000005</v>
      </c>
      <c r="G175" s="171"/>
      <c r="H175" s="55"/>
    </row>
    <row r="176" spans="1:8" x14ac:dyDescent="0.2">
      <c r="A176" s="57"/>
      <c r="B176" s="58"/>
      <c r="C176" s="58"/>
      <c r="D176" s="58"/>
      <c r="E176" s="58"/>
      <c r="F176" s="59"/>
      <c r="G176" s="60"/>
    </row>
    <row r="177" spans="1:7" x14ac:dyDescent="0.2">
      <c r="A177" s="177" t="s">
        <v>165</v>
      </c>
      <c r="B177" s="178"/>
      <c r="C177" s="178"/>
      <c r="D177" s="178"/>
      <c r="E177" s="178"/>
      <c r="F177" s="178"/>
      <c r="G177" s="61">
        <v>2</v>
      </c>
    </row>
    <row r="178" spans="1:7" x14ac:dyDescent="0.2">
      <c r="A178" s="177" t="s">
        <v>166</v>
      </c>
      <c r="B178" s="178"/>
      <c r="C178" s="178"/>
      <c r="D178" s="178"/>
      <c r="E178" s="178"/>
      <c r="F178" s="178"/>
      <c r="G178" s="61">
        <v>2</v>
      </c>
    </row>
    <row r="179" spans="1:7" x14ac:dyDescent="0.2">
      <c r="A179" s="179" t="s">
        <v>167</v>
      </c>
      <c r="B179" s="178"/>
      <c r="C179" s="178"/>
      <c r="D179" s="178"/>
      <c r="E179" s="178"/>
      <c r="F179" s="178"/>
      <c r="G179" s="178"/>
    </row>
    <row r="180" spans="1:7" x14ac:dyDescent="0.2">
      <c r="A180" s="60"/>
      <c r="B180" s="62"/>
      <c r="C180" s="62"/>
      <c r="D180" s="62"/>
      <c r="E180" s="59"/>
      <c r="F180" s="59"/>
      <c r="G180" s="60"/>
    </row>
  </sheetData>
  <mergeCells count="60">
    <mergeCell ref="D169:E169"/>
    <mergeCell ref="F169:G169"/>
    <mergeCell ref="B167:C167"/>
    <mergeCell ref="D167:E167"/>
    <mergeCell ref="F167:G167"/>
    <mergeCell ref="B168:C168"/>
    <mergeCell ref="D168:E168"/>
    <mergeCell ref="F168:G168"/>
    <mergeCell ref="B169:C169"/>
    <mergeCell ref="A162:D162"/>
    <mergeCell ref="D166:E166"/>
    <mergeCell ref="F166:G166"/>
    <mergeCell ref="B164:C164"/>
    <mergeCell ref="D164:E164"/>
    <mergeCell ref="F164:G164"/>
    <mergeCell ref="B165:C165"/>
    <mergeCell ref="D165:E165"/>
    <mergeCell ref="F165:G165"/>
    <mergeCell ref="B166:C166"/>
    <mergeCell ref="A133:E133"/>
    <mergeCell ref="A134:E134"/>
    <mergeCell ref="A140:F140"/>
    <mergeCell ref="A141:F141"/>
    <mergeCell ref="A161:D161"/>
    <mergeCell ref="A97:D97"/>
    <mergeCell ref="A98:D98"/>
    <mergeCell ref="A101:E101"/>
    <mergeCell ref="A127:D127"/>
    <mergeCell ref="A128:D128"/>
    <mergeCell ref="A57:D57"/>
    <mergeCell ref="A64:F64"/>
    <mergeCell ref="A65:F65"/>
    <mergeCell ref="A75:F75"/>
    <mergeCell ref="A76:F76"/>
    <mergeCell ref="A1:E1"/>
    <mergeCell ref="A2:E2"/>
    <mergeCell ref="A3:E3"/>
    <mergeCell ref="A4:E4"/>
    <mergeCell ref="A56:D56"/>
    <mergeCell ref="B173:C173"/>
    <mergeCell ref="D173:E173"/>
    <mergeCell ref="F173:G173"/>
    <mergeCell ref="B174:C174"/>
    <mergeCell ref="D174:E174"/>
    <mergeCell ref="F174:G174"/>
    <mergeCell ref="D175:E175"/>
    <mergeCell ref="F175:G175"/>
    <mergeCell ref="A177:F177"/>
    <mergeCell ref="A178:F178"/>
    <mergeCell ref="A179:G179"/>
    <mergeCell ref="B175:C175"/>
    <mergeCell ref="D172:E172"/>
    <mergeCell ref="F172:G172"/>
    <mergeCell ref="B170:C170"/>
    <mergeCell ref="D170:E170"/>
    <mergeCell ref="F170:G170"/>
    <mergeCell ref="B171:C171"/>
    <mergeCell ref="D171:E171"/>
    <mergeCell ref="F171:G171"/>
    <mergeCell ref="B172:C172"/>
  </mergeCells>
  <pageMargins left="0.7" right="0.7" top="0.75" bottom="0.75" header="0" footer="0"/>
  <pageSetup orientation="portrait"/>
  <headerFooter>
    <oddHeader>&amp;C&amp;A</oddHeader>
    <oddFooter>&amp;CPágina &amp;P</oddFooter>
  </headerFooter>
  <colBreaks count="2" manualBreakCount="2">
    <brk man="1"/>
    <brk id="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12</vt:i4>
      </vt:variant>
    </vt:vector>
  </HeadingPairs>
  <TitlesOfParts>
    <vt:vector size="12" baseType="lpstr">
      <vt:lpstr>RESUMO</vt:lpstr>
      <vt:lpstr>Oficial de Manut. Pred. - Grava</vt:lpstr>
      <vt:lpstr>Aux. Manut. Pred. - Gravataí</vt:lpstr>
      <vt:lpstr>Jardinagem - Gravataí</vt:lpstr>
      <vt:lpstr>Oficial de Manut. Pred. - Lajea</vt:lpstr>
      <vt:lpstr>Aux. Manut. Pred. - Lajeado</vt:lpstr>
      <vt:lpstr>Jardinagem - Lajeado</vt:lpstr>
      <vt:lpstr>SG-Oficial de Manut. Pred</vt:lpstr>
      <vt:lpstr>SG-Jardinagem</vt:lpstr>
      <vt:lpstr>INSUMOS - Gravataí</vt:lpstr>
      <vt:lpstr>INSUMOS - Lajeado</vt:lpstr>
      <vt:lpstr>INSUMOS - Sapiranga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Claus de Rosso Bolzan</dc:creator>
  <cp:lastModifiedBy>Bruna Oliveira</cp:lastModifiedBy>
  <dcterms:created xsi:type="dcterms:W3CDTF">2018-02-21T17:13:10Z</dcterms:created>
  <dcterms:modified xsi:type="dcterms:W3CDTF">2024-08-13T17:44:07Z</dcterms:modified>
</cp:coreProperties>
</file>